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defaultThemeVersion="166925"/>
  <mc:AlternateContent xmlns:mc="http://schemas.openxmlformats.org/markup-compatibility/2006">
    <mc:Choice Requires="x15">
      <x15ac:absPath xmlns:x15ac="http://schemas.microsoft.com/office/spreadsheetml/2010/11/ac" url="C:\Users\Nick\Documents\_Daily Use\M-Systems - Quick Summaries\"/>
    </mc:Choice>
  </mc:AlternateContent>
  <xr:revisionPtr revIDLastSave="0" documentId="13_ncr:1_{54F2CD37-A37A-4F38-82BD-1FE6AF994A43}" xr6:coauthVersionLast="34" xr6:coauthVersionMax="34" xr10:uidLastSave="{00000000-0000-0000-0000-000000000000}"/>
  <bookViews>
    <workbookView xWindow="0" yWindow="0" windowWidth="13800" windowHeight="3816" tabRatio="798" xr2:uid="{00000000-000D-0000-FFFF-FFFF00000000}"/>
  </bookViews>
  <sheets>
    <sheet name="Tab 2024 - ŔÉŚ 1.02 É95 Tax NC " sheetId="117" r:id="rId1"/>
    <sheet name="The Sienna Equilibrium 2.01" sheetId="118" r:id="rId2"/>
    <sheet name="Tab 2024 - ŔÉŚ 1" sheetId="113" r:id="rId3"/>
    <sheet name="Tab 2 - 2039 - ŔÉŚ 16 " sheetId="112" r:id="rId4"/>
    <sheet name="The Sienna Equilibrium 1.06" sheetId="84" r:id="rId5"/>
    <sheet name="The Sienna Equilibrium 1.07" sheetId="116" r:id="rId6"/>
    <sheet name="Solar in Malawi" sheetId="8" r:id="rId7"/>
    <sheet name="POP Dimensions" sheetId="1" r:id="rId8"/>
    <sheet name="UCS™ TWF Ťenders" sheetId="17" r:id="rId9"/>
    <sheet name="&lt;-- End of Summary --&gt;" sheetId="114" r:id="rId10"/>
    <sheet name="RES 2012" sheetId="115" r:id="rId11"/>
    <sheet name="Super Coupling 1.02" sheetId="88" r:id="rId12"/>
    <sheet name="2024 - ŔÉŚ 1 SPIN-8 Tax 95% " sheetId="61" r:id="rId13"/>
    <sheet name="2025 - ŔÉŚ 2 The GDP Game" sheetId="89" r:id="rId14"/>
    <sheet name="2026 - ŔÉŚ 3 S-World VS and VSN" sheetId="92" r:id="rId15"/>
    <sheet name="2027 - ŔÉŚ 4 Éfficiency to 92" sheetId="93" r:id="rId16"/>
    <sheet name="2028 - ŔÉŚ 5 Śpin 10" sheetId="94" r:id="rId17"/>
    <sheet name="2029 - ŔÉŚ 6. Malawi Income " sheetId="95" r:id="rId18"/>
    <sheet name="2030 - ŔÉŚ 7. É-94 Śpin-12" sheetId="96" r:id="rId19"/>
    <sheet name="2031 - ŔÉŚ 8. É95%" sheetId="97" r:id="rId20"/>
    <sheet name="2032 - ŔÉŚ 9. Ś-16" sheetId="98" r:id="rId21"/>
    <sheet name="2033 - ŔÉŚ 10. É97%" sheetId="100" r:id="rId22"/>
    <sheet name="2034 - ŔÉŚ 11. É98%" sheetId="101" r:id="rId23"/>
    <sheet name="2035 - ŔÉŚ 12. É99%" sheetId="102" r:id="rId24"/>
    <sheet name="2036 - ŔÉŚ 13. É100% " sheetId="104" r:id="rId25"/>
    <sheet name="2037 - ŔÉŚ 14. Śpin 24" sheetId="105" r:id="rId26"/>
    <sheet name="2038 - ŔÉŚ 15. Increase in Ŕ" sheetId="106" r:id="rId27"/>
    <sheet name="Sheet1" sheetId="111" r:id="rId28"/>
    <sheet name="2039 - ŔÉŚ 16. Increase Ŕ2" sheetId="107" r:id="rId29"/>
    <sheet name="Desalination Projects Funding" sheetId="108" r:id="rId30"/>
    <sheet name="Gigafactory Projects Funding" sheetId="109" r:id="rId31"/>
    <sheet name="Tesla M-Series Funding" sheetId="110" r:id="rId32"/>
    <sheet name="Network Cities" sheetId="87" r:id="rId33"/>
    <sheet name="TSE - Comparative Advantage" sheetId="85" r:id="rId34"/>
    <sheet name="How Many S-World Companies 2.0" sheetId="77" r:id="rId35"/>
    <sheet name="Audacious Project Revenue" sheetId="26" r:id="rId36"/>
    <sheet name=" (R) Revenue Not from Bonds" sheetId="38" r:id="rId37"/>
    <sheet name="How Many S-World Companies" sheetId="46" r:id="rId38"/>
    <sheet name="US Audacious Projects Owners" sheetId="27" r:id="rId39"/>
    <sheet name="END OF  Presentation" sheetId="45" r:id="rId40"/>
    <sheet name="64 Grand Networks" sheetId="32" r:id="rId41"/>
    <sheet name="S-World UCS™ Software 1.01" sheetId="83" r:id="rId42"/>
    <sheet name="2018 to 2027" sheetId="34" r:id="rId43"/>
    <sheet name="368 tenders" sheetId="19" r:id="rId44"/>
    <sheet name="Bill Gates Time is Worth" sheetId="31" r:id="rId45"/>
    <sheet name="Old - Abject Safe Bonds (GDP)" sheetId="10" r:id="rId46"/>
    <sheet name="Car Factory" sheetId="5" r:id="rId47"/>
    <sheet name="Property Prices" sheetId="4" r:id="rId48"/>
    <sheet name="Old RES V1 (2024)" sheetId="20" r:id="rId49"/>
  </sheets>
  <externalReferences>
    <externalReference r:id="rId50"/>
    <externalReference r:id="rId51"/>
  </externalReferenc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36" i="117" l="1"/>
  <c r="AL213" i="116"/>
  <c r="AL216" i="116" s="1"/>
  <c r="AN216" i="116" s="1"/>
  <c r="AL211" i="116"/>
  <c r="AL212" i="116"/>
  <c r="AP44" i="117" l="1"/>
  <c r="AT33" i="117"/>
  <c r="AT32" i="117"/>
  <c r="AT31" i="117"/>
  <c r="AD83" i="117"/>
  <c r="AD84" i="117" s="1"/>
  <c r="AD85" i="117" s="1"/>
  <c r="AD86" i="117" s="1"/>
  <c r="AD87" i="117" s="1"/>
  <c r="AD88" i="117" s="1"/>
  <c r="AD89" i="117" s="1"/>
  <c r="AD90" i="117" s="1"/>
  <c r="AD91" i="117" s="1"/>
  <c r="AD92" i="117" s="1"/>
  <c r="AD93" i="117" s="1"/>
  <c r="AD94" i="117" s="1"/>
  <c r="AD95" i="117" s="1"/>
  <c r="AD96" i="117" s="1"/>
  <c r="AD97" i="117" s="1"/>
  <c r="AD98" i="117" s="1"/>
  <c r="AD99" i="117" s="1"/>
  <c r="AD100" i="117" s="1"/>
  <c r="AD101" i="117" s="1"/>
  <c r="AD102" i="117" s="1"/>
  <c r="AD103" i="117" s="1"/>
  <c r="AD104" i="117" s="1"/>
  <c r="AD105" i="117" s="1"/>
  <c r="AD106" i="117" s="1"/>
  <c r="AD77" i="117"/>
  <c r="AD78" i="117" s="1"/>
  <c r="AD79" i="117" s="1"/>
  <c r="AD80" i="117" s="1"/>
  <c r="AD81" i="117" s="1"/>
  <c r="AD82" i="117" s="1"/>
  <c r="AF75" i="117"/>
  <c r="AF76" i="117" s="1"/>
  <c r="AF77" i="117" s="1"/>
  <c r="AF78" i="117" s="1"/>
  <c r="AF79" i="117" s="1"/>
  <c r="AF80" i="117" s="1"/>
  <c r="AF81" i="117" s="1"/>
  <c r="AF82" i="117" s="1"/>
  <c r="AF83" i="117" s="1"/>
  <c r="AF84" i="117" s="1"/>
  <c r="AF85" i="117" s="1"/>
  <c r="AF86" i="117" s="1"/>
  <c r="AF87" i="117" s="1"/>
  <c r="AF88" i="117" s="1"/>
  <c r="AF89" i="117" s="1"/>
  <c r="AF90" i="117" s="1"/>
  <c r="AF91" i="117" s="1"/>
  <c r="AF92" i="117" s="1"/>
  <c r="AF93" i="117" s="1"/>
  <c r="AF94" i="117" s="1"/>
  <c r="AF95" i="117" s="1"/>
  <c r="AF96" i="117" s="1"/>
  <c r="AF97" i="117" s="1"/>
  <c r="AF98" i="117" s="1"/>
  <c r="AF99" i="117" s="1"/>
  <c r="AF100" i="117" s="1"/>
  <c r="AF101" i="117" s="1"/>
  <c r="AF102" i="117" s="1"/>
  <c r="AF103" i="117" s="1"/>
  <c r="AF104" i="117" s="1"/>
  <c r="AF105" i="117" s="1"/>
  <c r="AF106" i="117" s="1"/>
  <c r="AD75" i="117"/>
  <c r="AD76" i="117" s="1"/>
  <c r="AG74" i="117"/>
  <c r="AE75" i="117" s="1"/>
  <c r="AF74" i="117"/>
  <c r="O72" i="117"/>
  <c r="Q70" i="117" s="1"/>
  <c r="S71" i="117"/>
  <c r="AS70" i="117"/>
  <c r="AS69" i="117"/>
  <c r="AS67" i="117"/>
  <c r="E57" i="117"/>
  <c r="BN56" i="117"/>
  <c r="BM56" i="117"/>
  <c r="AT55" i="117"/>
  <c r="G55" i="117"/>
  <c r="I55" i="117" s="1"/>
  <c r="K55" i="117" s="1"/>
  <c r="AP53" i="117"/>
  <c r="AN53" i="117" s="1"/>
  <c r="AN65" i="117" s="1"/>
  <c r="AL53" i="117"/>
  <c r="BV47" i="117"/>
  <c r="BJ40" i="117"/>
  <c r="BL40" i="117" s="1"/>
  <c r="BJ37" i="117"/>
  <c r="BJ47" i="117" s="1"/>
  <c r="BL47" i="117" s="1"/>
  <c r="BO47" i="117" s="1"/>
  <c r="BQ47" i="117" s="1"/>
  <c r="C37" i="117"/>
  <c r="D36" i="117"/>
  <c r="BS35" i="117"/>
  <c r="BS36" i="117" s="1"/>
  <c r="BS37" i="117" s="1"/>
  <c r="BS38" i="117" s="1"/>
  <c r="BS39" i="117" s="1"/>
  <c r="BS40" i="117" s="1"/>
  <c r="BS41" i="117" s="1"/>
  <c r="BS42" i="117" s="1"/>
  <c r="BS43" i="117" s="1"/>
  <c r="BS44" i="117" s="1"/>
  <c r="BS45" i="117" s="1"/>
  <c r="BS46" i="117" s="1"/>
  <c r="BS47" i="117" s="1"/>
  <c r="BS48" i="117" s="1"/>
  <c r="BS49" i="117" s="1"/>
  <c r="BS50" i="117" s="1"/>
  <c r="BS51" i="117" s="1"/>
  <c r="BS52" i="117" s="1"/>
  <c r="BS53" i="117" s="1"/>
  <c r="BS54" i="117" s="1"/>
  <c r="BS55" i="117" s="1"/>
  <c r="BJ35" i="117"/>
  <c r="AR32" i="117"/>
  <c r="BW30" i="117"/>
  <c r="BW31" i="117" s="1"/>
  <c r="BW32" i="117" s="1"/>
  <c r="BW33" i="117" s="1"/>
  <c r="BW34" i="117" s="1"/>
  <c r="BW35" i="117" s="1"/>
  <c r="BW36" i="117" s="1"/>
  <c r="BW37" i="117" s="1"/>
  <c r="BW38" i="117" s="1"/>
  <c r="BW39" i="117" s="1"/>
  <c r="BW40" i="117" s="1"/>
  <c r="BW41" i="117" s="1"/>
  <c r="BW42" i="117" s="1"/>
  <c r="BW43" i="117" s="1"/>
  <c r="BW44" i="117" s="1"/>
  <c r="BW45" i="117" s="1"/>
  <c r="BW46" i="117" s="1"/>
  <c r="BW47" i="117" s="1"/>
  <c r="BW48" i="117" s="1"/>
  <c r="BW49" i="117" s="1"/>
  <c r="BW50" i="117" s="1"/>
  <c r="BW51" i="117" s="1"/>
  <c r="BW52" i="117" s="1"/>
  <c r="BW53" i="117" s="1"/>
  <c r="BW54" i="117" s="1"/>
  <c r="BW55" i="117" s="1"/>
  <c r="BJ30" i="117"/>
  <c r="BL30" i="117" s="1"/>
  <c r="BJ29" i="117"/>
  <c r="BJ27" i="117"/>
  <c r="BL27" i="117" s="1"/>
  <c r="BV27" i="117" s="1"/>
  <c r="AJ27" i="117"/>
  <c r="AP27" i="117" s="1"/>
  <c r="N27" i="117"/>
  <c r="R27" i="117" s="1"/>
  <c r="V27" i="117" s="1"/>
  <c r="Z27" i="117" s="1"/>
  <c r="AD27" i="117" s="1"/>
  <c r="AH27" i="117" s="1"/>
  <c r="AL27" i="117" s="1"/>
  <c r="L27" i="117"/>
  <c r="P27" i="117" s="1"/>
  <c r="T27" i="117" s="1"/>
  <c r="X27" i="117" s="1"/>
  <c r="AB27" i="117" s="1"/>
  <c r="AF27" i="117" s="1"/>
  <c r="BS26" i="117"/>
  <c r="BS27" i="117" s="1"/>
  <c r="BS28" i="117" s="1"/>
  <c r="BS29" i="117" s="1"/>
  <c r="BS30" i="117" s="1"/>
  <c r="BS31" i="117" s="1"/>
  <c r="BS32" i="117" s="1"/>
  <c r="BS33" i="117" s="1"/>
  <c r="BS34" i="117" s="1"/>
  <c r="BE25" i="117"/>
  <c r="BE26" i="117" s="1"/>
  <c r="BE27" i="117" s="1"/>
  <c r="BE28" i="117" s="1"/>
  <c r="BE29" i="117" s="1"/>
  <c r="BE30" i="117" s="1"/>
  <c r="BE31" i="117" s="1"/>
  <c r="BE32" i="117" s="1"/>
  <c r="BE33" i="117" s="1"/>
  <c r="BE34" i="117" s="1"/>
  <c r="BE35" i="117" s="1"/>
  <c r="BE36" i="117" s="1"/>
  <c r="BE37" i="117" s="1"/>
  <c r="BE38" i="117" s="1"/>
  <c r="BE39" i="117" s="1"/>
  <c r="BE40" i="117" s="1"/>
  <c r="BE41" i="117" s="1"/>
  <c r="BE42" i="117" s="1"/>
  <c r="BE43" i="117" s="1"/>
  <c r="BE44" i="117" s="1"/>
  <c r="BE45" i="117" s="1"/>
  <c r="BE46" i="117" s="1"/>
  <c r="BE47" i="117" s="1"/>
  <c r="BE48" i="117" s="1"/>
  <c r="BE49" i="117" s="1"/>
  <c r="BE50" i="117" s="1"/>
  <c r="BE51" i="117" s="1"/>
  <c r="BE52" i="117" s="1"/>
  <c r="BE53" i="117" s="1"/>
  <c r="BE54" i="117" s="1"/>
  <c r="BE55" i="117" s="1"/>
  <c r="BC25" i="117"/>
  <c r="BC26" i="117" s="1"/>
  <c r="BC27" i="117" s="1"/>
  <c r="BC28" i="117" s="1"/>
  <c r="BC29" i="117" s="1"/>
  <c r="BC30" i="117" s="1"/>
  <c r="BC31" i="117" s="1"/>
  <c r="BC32" i="117" s="1"/>
  <c r="BC33" i="117" s="1"/>
  <c r="BC34" i="117" s="1"/>
  <c r="BC35" i="117" s="1"/>
  <c r="BC36" i="117" s="1"/>
  <c r="BC37" i="117" s="1"/>
  <c r="BC38" i="117" s="1"/>
  <c r="BC39" i="117" s="1"/>
  <c r="BC40" i="117" s="1"/>
  <c r="BC41" i="117" s="1"/>
  <c r="BC42" i="117" s="1"/>
  <c r="BC43" i="117" s="1"/>
  <c r="BC44" i="117" s="1"/>
  <c r="BC45" i="117" s="1"/>
  <c r="BC46" i="117" s="1"/>
  <c r="BC47" i="117" s="1"/>
  <c r="BC48" i="117" s="1"/>
  <c r="BC49" i="117" s="1"/>
  <c r="BC50" i="117" s="1"/>
  <c r="BC51" i="117" s="1"/>
  <c r="BC52" i="117" s="1"/>
  <c r="BC53" i="117" s="1"/>
  <c r="BC54" i="117" s="1"/>
  <c r="BC55" i="117" s="1"/>
  <c r="V25" i="117"/>
  <c r="Z25" i="117" s="1"/>
  <c r="AD25" i="117" s="1"/>
  <c r="AH25" i="117" s="1"/>
  <c r="AL25" i="117" s="1"/>
  <c r="N25" i="117"/>
  <c r="R25" i="117" s="1"/>
  <c r="L25" i="117"/>
  <c r="P25" i="117" s="1"/>
  <c r="T25" i="117" s="1"/>
  <c r="X25" i="117" s="1"/>
  <c r="AB25" i="117" s="1"/>
  <c r="AF25" i="117" s="1"/>
  <c r="AJ25" i="117" s="1"/>
  <c r="AP25" i="117" s="1"/>
  <c r="BW24" i="117"/>
  <c r="BW25" i="117" s="1"/>
  <c r="BW26" i="117" s="1"/>
  <c r="BW27" i="117" s="1"/>
  <c r="BW28" i="117" s="1"/>
  <c r="BW29" i="117" s="1"/>
  <c r="BJ24" i="117"/>
  <c r="BL24" i="117" s="1"/>
  <c r="BO24" i="117" s="1"/>
  <c r="BI24" i="117"/>
  <c r="BI25" i="117" s="1"/>
  <c r="BI26" i="117" s="1"/>
  <c r="BI27" i="117" s="1"/>
  <c r="BI28" i="117" s="1"/>
  <c r="BI29" i="117" s="1"/>
  <c r="BI30" i="117" s="1"/>
  <c r="BI31" i="117" s="1"/>
  <c r="BI32" i="117" s="1"/>
  <c r="BI33" i="117" s="1"/>
  <c r="BI34" i="117" s="1"/>
  <c r="BI35" i="117" s="1"/>
  <c r="BI36" i="117" s="1"/>
  <c r="BI37" i="117" s="1"/>
  <c r="BI38" i="117" s="1"/>
  <c r="BI39" i="117" s="1"/>
  <c r="BI40" i="117" s="1"/>
  <c r="BI41" i="117" s="1"/>
  <c r="BI42" i="117" s="1"/>
  <c r="BI43" i="117" s="1"/>
  <c r="BI44" i="117" s="1"/>
  <c r="BI45" i="117" s="1"/>
  <c r="BI46" i="117" s="1"/>
  <c r="BI47" i="117" s="1"/>
  <c r="BI48" i="117" s="1"/>
  <c r="BI49" i="117" s="1"/>
  <c r="BI50" i="117" s="1"/>
  <c r="BI51" i="117" s="1"/>
  <c r="BI52" i="117" s="1"/>
  <c r="BI53" i="117" s="1"/>
  <c r="BI54" i="117" s="1"/>
  <c r="BI55" i="117" s="1"/>
  <c r="BE24" i="117"/>
  <c r="BC24" i="117"/>
  <c r="BJ23" i="117"/>
  <c r="BL23" i="117" s="1"/>
  <c r="BO23" i="117" s="1"/>
  <c r="BF23" i="117"/>
  <c r="BD24" i="117" s="1"/>
  <c r="R23" i="117"/>
  <c r="V23" i="117" s="1"/>
  <c r="Z23" i="117" s="1"/>
  <c r="AD23" i="117" s="1"/>
  <c r="AH23" i="117" s="1"/>
  <c r="AL23" i="117" s="1"/>
  <c r="P23" i="117"/>
  <c r="T23" i="117" s="1"/>
  <c r="X23" i="117" s="1"/>
  <c r="AB23" i="117" s="1"/>
  <c r="AF23" i="117" s="1"/>
  <c r="AJ23" i="117" s="1"/>
  <c r="AP23" i="117" s="1"/>
  <c r="N23" i="117"/>
  <c r="L23" i="117"/>
  <c r="P21" i="117"/>
  <c r="T21" i="117" s="1"/>
  <c r="X21" i="117" s="1"/>
  <c r="AB21" i="117" s="1"/>
  <c r="AF21" i="117" s="1"/>
  <c r="AJ21" i="117" s="1"/>
  <c r="AP21" i="117" s="1"/>
  <c r="N21" i="117"/>
  <c r="R21" i="117" s="1"/>
  <c r="V21" i="117" s="1"/>
  <c r="Z21" i="117" s="1"/>
  <c r="AD21" i="117" s="1"/>
  <c r="AH21" i="117" s="1"/>
  <c r="AL21" i="117" s="1"/>
  <c r="L21" i="117"/>
  <c r="E21" i="117"/>
  <c r="BJ20" i="117"/>
  <c r="P17" i="117"/>
  <c r="T17" i="117" s="1"/>
  <c r="X17" i="117" s="1"/>
  <c r="AB17" i="117" s="1"/>
  <c r="AF17" i="117" s="1"/>
  <c r="AJ17" i="117" s="1"/>
  <c r="AP17" i="117" s="1"/>
  <c r="N17" i="117"/>
  <c r="R17" i="117" s="1"/>
  <c r="V17" i="117" s="1"/>
  <c r="Z17" i="117" s="1"/>
  <c r="AD17" i="117" s="1"/>
  <c r="AH17" i="117" s="1"/>
  <c r="AL17" i="117" s="1"/>
  <c r="L17" i="117"/>
  <c r="N14" i="117"/>
  <c r="R14" i="117" s="1"/>
  <c r="V14" i="117" s="1"/>
  <c r="Z14" i="117" s="1"/>
  <c r="AD14" i="117" s="1"/>
  <c r="AH14" i="117" s="1"/>
  <c r="AL14" i="117" s="1"/>
  <c r="L14" i="117"/>
  <c r="P14" i="117" s="1"/>
  <c r="T14" i="117" s="1"/>
  <c r="X14" i="117" s="1"/>
  <c r="AB14" i="117" s="1"/>
  <c r="AF14" i="117" s="1"/>
  <c r="AJ14" i="117" s="1"/>
  <c r="AP14" i="117" s="1"/>
  <c r="I14" i="117"/>
  <c r="K14" i="117" s="1"/>
  <c r="M14" i="117" s="1"/>
  <c r="E14" i="117"/>
  <c r="G14" i="117" s="1"/>
  <c r="N12" i="117"/>
  <c r="R12" i="117" s="1"/>
  <c r="V12" i="117" s="1"/>
  <c r="Z12" i="117" s="1"/>
  <c r="AD12" i="117" s="1"/>
  <c r="AH12" i="117" s="1"/>
  <c r="AL12" i="117" s="1"/>
  <c r="L12" i="117"/>
  <c r="P12" i="117" s="1"/>
  <c r="T12" i="117" s="1"/>
  <c r="X12" i="117" s="1"/>
  <c r="AB12" i="117" s="1"/>
  <c r="AF12" i="117" s="1"/>
  <c r="AJ12" i="117" s="1"/>
  <c r="AP12" i="117" s="1"/>
  <c r="G12" i="117"/>
  <c r="I12" i="117" s="1"/>
  <c r="K12" i="117" s="1"/>
  <c r="M12" i="117" s="1"/>
  <c r="O12" i="117" s="1"/>
  <c r="Q12" i="117" s="1"/>
  <c r="E11" i="117"/>
  <c r="N10" i="117"/>
  <c r="R10" i="117" s="1"/>
  <c r="V10" i="117" s="1"/>
  <c r="Z10" i="117" s="1"/>
  <c r="AD10" i="117" s="1"/>
  <c r="AH10" i="117" s="1"/>
  <c r="AL10" i="117" s="1"/>
  <c r="L10" i="117"/>
  <c r="P10" i="117" s="1"/>
  <c r="T10" i="117" s="1"/>
  <c r="X10" i="117" s="1"/>
  <c r="AB10" i="117" s="1"/>
  <c r="AF10" i="117" s="1"/>
  <c r="AJ10" i="117" s="1"/>
  <c r="AP10" i="117" s="1"/>
  <c r="G10" i="117"/>
  <c r="I10" i="117" s="1"/>
  <c r="K10" i="117" s="1"/>
  <c r="E10" i="117"/>
  <c r="E8" i="117"/>
  <c r="N5" i="117"/>
  <c r="R5" i="117" s="1"/>
  <c r="V5" i="117" s="1"/>
  <c r="Z5" i="117" s="1"/>
  <c r="AD5" i="117" s="1"/>
  <c r="AH5" i="117" s="1"/>
  <c r="AL5" i="117" s="1"/>
  <c r="L5" i="117"/>
  <c r="P5" i="117" s="1"/>
  <c r="T5" i="117" s="1"/>
  <c r="X5" i="117" s="1"/>
  <c r="AB5" i="117" s="1"/>
  <c r="AF5" i="117" s="1"/>
  <c r="AJ5" i="117" s="1"/>
  <c r="AP5" i="117" s="1"/>
  <c r="AP4" i="117"/>
  <c r="AP3" i="117"/>
  <c r="AN87" i="92"/>
  <c r="AN33" i="89"/>
  <c r="AP43" i="113"/>
  <c r="B7" i="116"/>
  <c r="B10" i="116"/>
  <c r="B11" i="116" s="1"/>
  <c r="B12" i="116" s="1"/>
  <c r="O14" i="117" l="1"/>
  <c r="Q14" i="117" s="1"/>
  <c r="S14" i="117" s="1"/>
  <c r="U14" i="117" s="1"/>
  <c r="W14" i="117" s="1"/>
  <c r="Y14" i="117" s="1"/>
  <c r="AA14" i="117" s="1"/>
  <c r="AC14" i="117" s="1"/>
  <c r="AE14" i="117" s="1"/>
  <c r="AG14" i="117" s="1"/>
  <c r="AI14" i="117" s="1"/>
  <c r="AK14" i="117" s="1"/>
  <c r="AM14" i="117" s="1"/>
  <c r="AQ14" i="117" s="1"/>
  <c r="S12" i="117"/>
  <c r="U12" i="117"/>
  <c r="W12" i="117" s="1"/>
  <c r="Y12" i="117" s="1"/>
  <c r="AA12" i="117" s="1"/>
  <c r="AC12" i="117" s="1"/>
  <c r="AE12" i="117" s="1"/>
  <c r="AG12" i="117" s="1"/>
  <c r="AI12" i="117" s="1"/>
  <c r="AK12" i="117" s="1"/>
  <c r="AM12" i="117" s="1"/>
  <c r="AQ12" i="117" s="1"/>
  <c r="E63" i="117"/>
  <c r="G25" i="117"/>
  <c r="G23" i="117"/>
  <c r="G21" i="117"/>
  <c r="M10" i="117"/>
  <c r="G27" i="117"/>
  <c r="BV30" i="117"/>
  <c r="BO30" i="117"/>
  <c r="BQ30" i="117" s="1"/>
  <c r="BF24" i="117"/>
  <c r="BD25" i="117" s="1"/>
  <c r="BL29" i="117"/>
  <c r="BJ39" i="117"/>
  <c r="BL35" i="117"/>
  <c r="BJ45" i="117"/>
  <c r="BO27" i="117"/>
  <c r="BQ27" i="117" s="1"/>
  <c r="AN14" i="117"/>
  <c r="D21" i="117"/>
  <c r="AN32" i="117"/>
  <c r="E51" i="117"/>
  <c r="E9" i="117"/>
  <c r="E12" i="117" s="1"/>
  <c r="E13" i="117" s="1"/>
  <c r="E16" i="117"/>
  <c r="G53" i="117"/>
  <c r="G57" i="117"/>
  <c r="I57" i="117" s="1"/>
  <c r="K57" i="117" s="1"/>
  <c r="D57" i="117"/>
  <c r="D14" i="117"/>
  <c r="BJ38" i="117"/>
  <c r="BJ34" i="117"/>
  <c r="BJ33" i="117"/>
  <c r="BJ32" i="117"/>
  <c r="BJ26" i="117"/>
  <c r="BL26" i="117" s="1"/>
  <c r="BJ31" i="117"/>
  <c r="BL20" i="117"/>
  <c r="BO20" i="117" s="1"/>
  <c r="BJ36" i="117"/>
  <c r="BJ25" i="117"/>
  <c r="BL25" i="117" s="1"/>
  <c r="BJ28" i="117"/>
  <c r="BL28" i="117" s="1"/>
  <c r="E5" i="117"/>
  <c r="G5" i="117" s="1"/>
  <c r="BL37" i="117"/>
  <c r="BJ50" i="117"/>
  <c r="BL50" i="117" s="1"/>
  <c r="E36" i="117"/>
  <c r="D37" i="117"/>
  <c r="D38" i="117" s="1"/>
  <c r="D39" i="117" s="1"/>
  <c r="D40" i="117" s="1"/>
  <c r="D41" i="117" s="1"/>
  <c r="D42" i="117" s="1"/>
  <c r="D43" i="117" s="1"/>
  <c r="BV40" i="117"/>
  <c r="BO40" i="117"/>
  <c r="BQ40" i="117" s="1"/>
  <c r="C38" i="117"/>
  <c r="E37" i="117"/>
  <c r="AG75" i="117"/>
  <c r="AE76" i="117"/>
  <c r="H15" i="115"/>
  <c r="AN12" i="117" l="1"/>
  <c r="BF25" i="117"/>
  <c r="BD26" i="117"/>
  <c r="I5" i="117"/>
  <c r="K5" i="117" s="1"/>
  <c r="M5" i="117" s="1"/>
  <c r="O5" i="117" s="1"/>
  <c r="Q5" i="117" s="1"/>
  <c r="S5" i="117" s="1"/>
  <c r="U5" i="117" s="1"/>
  <c r="W5" i="117" s="1"/>
  <c r="Y5" i="117" s="1"/>
  <c r="AA5" i="117" s="1"/>
  <c r="AC5" i="117" s="1"/>
  <c r="AE5" i="117" s="1"/>
  <c r="AG5" i="117" s="1"/>
  <c r="AI5" i="117" s="1"/>
  <c r="AK5" i="117" s="1"/>
  <c r="AM5" i="117" s="1"/>
  <c r="AQ5" i="117" s="1"/>
  <c r="AT28" i="117" s="1"/>
  <c r="K4" i="117"/>
  <c r="O4" i="117" s="1"/>
  <c r="O6" i="117" s="1"/>
  <c r="BJ42" i="117"/>
  <c r="BL32" i="117"/>
  <c r="I23" i="117"/>
  <c r="K23" i="117" s="1"/>
  <c r="M23" i="117" s="1"/>
  <c r="O23" i="117" s="1"/>
  <c r="Q23" i="117" s="1"/>
  <c r="S23" i="117" s="1"/>
  <c r="U23" i="117" s="1"/>
  <c r="W23" i="117" s="1"/>
  <c r="Y23" i="117" s="1"/>
  <c r="AA23" i="117" s="1"/>
  <c r="AC23" i="117" s="1"/>
  <c r="AE23" i="117" s="1"/>
  <c r="AG23" i="117" s="1"/>
  <c r="AI23" i="117" s="1"/>
  <c r="AK23" i="117" s="1"/>
  <c r="AM23" i="117" s="1"/>
  <c r="AQ23" i="117" s="1"/>
  <c r="C39" i="117"/>
  <c r="E38" i="117"/>
  <c r="AN35" i="117"/>
  <c r="AN47" i="117" s="1"/>
  <c r="BL33" i="117"/>
  <c r="BJ43" i="117"/>
  <c r="I25" i="117"/>
  <c r="K25" i="117" s="1"/>
  <c r="M25" i="117" s="1"/>
  <c r="O25" i="117" s="1"/>
  <c r="Q25" i="117" s="1"/>
  <c r="S25" i="117" s="1"/>
  <c r="U25" i="117" s="1"/>
  <c r="W25" i="117" s="1"/>
  <c r="Y25" i="117" s="1"/>
  <c r="AA25" i="117" s="1"/>
  <c r="AC25" i="117" s="1"/>
  <c r="AE25" i="117" s="1"/>
  <c r="AG25" i="117" s="1"/>
  <c r="AI25" i="117" s="1"/>
  <c r="AK25" i="117" s="1"/>
  <c r="AM25" i="117" s="1"/>
  <c r="AQ25" i="117" s="1"/>
  <c r="BV28" i="117"/>
  <c r="BO28" i="117"/>
  <c r="BQ28" i="117" s="1"/>
  <c r="BL34" i="117"/>
  <c r="BJ44" i="117"/>
  <c r="I53" i="117"/>
  <c r="G65" i="117"/>
  <c r="I65" i="117" s="1"/>
  <c r="K65" i="117" s="1"/>
  <c r="G67" i="117"/>
  <c r="I67" i="117" s="1"/>
  <c r="K67" i="117" s="1"/>
  <c r="D63" i="117"/>
  <c r="D60" i="117" s="1"/>
  <c r="G69" i="117"/>
  <c r="I69" i="117" s="1"/>
  <c r="K69" i="117" s="1"/>
  <c r="G63" i="117"/>
  <c r="I63" i="117" s="1"/>
  <c r="K63" i="117" s="1"/>
  <c r="BO25" i="117"/>
  <c r="BQ25" i="117" s="1"/>
  <c r="BR25" i="117" s="1"/>
  <c r="BT25" i="117" s="1"/>
  <c r="BV25" i="117"/>
  <c r="BL38" i="117"/>
  <c r="BJ48" i="117"/>
  <c r="BL48" i="117" s="1"/>
  <c r="BL45" i="117"/>
  <c r="BJ55" i="117"/>
  <c r="BL55" i="117" s="1"/>
  <c r="BJ46" i="117"/>
  <c r="BL46" i="117" s="1"/>
  <c r="BL36" i="117"/>
  <c r="BO35" i="117"/>
  <c r="BQ35" i="117" s="1"/>
  <c r="BV35" i="117"/>
  <c r="BJ49" i="117"/>
  <c r="BL49" i="117" s="1"/>
  <c r="BL39" i="117"/>
  <c r="I27" i="117"/>
  <c r="K27" i="117" s="1"/>
  <c r="M27" i="117" s="1"/>
  <c r="O27" i="117" s="1"/>
  <c r="Q27" i="117" s="1"/>
  <c r="S27" i="117" s="1"/>
  <c r="U27" i="117" s="1"/>
  <c r="W27" i="117" s="1"/>
  <c r="Y27" i="117" s="1"/>
  <c r="AA27" i="117" s="1"/>
  <c r="AC27" i="117" s="1"/>
  <c r="AE27" i="117" s="1"/>
  <c r="AG27" i="117" s="1"/>
  <c r="AI27" i="117" s="1"/>
  <c r="AK27" i="117" s="1"/>
  <c r="AM27" i="117" s="1"/>
  <c r="AQ27" i="117" s="1"/>
  <c r="AN27" i="117"/>
  <c r="AG76" i="117"/>
  <c r="AE77" i="117" s="1"/>
  <c r="BO50" i="117"/>
  <c r="BQ50" i="117" s="1"/>
  <c r="BV50" i="117"/>
  <c r="BL31" i="117"/>
  <c r="BJ41" i="117"/>
  <c r="BV29" i="117"/>
  <c r="BO29" i="117"/>
  <c r="BQ29" i="117" s="1"/>
  <c r="O10" i="117"/>
  <c r="Q10" i="117" s="1"/>
  <c r="BO37" i="117"/>
  <c r="BQ37" i="117" s="1"/>
  <c r="BV37" i="117"/>
  <c r="BV26" i="117"/>
  <c r="BO26" i="117"/>
  <c r="BQ26" i="117" s="1"/>
  <c r="D17" i="117"/>
  <c r="E17" i="117" s="1"/>
  <c r="G17" i="117" s="1"/>
  <c r="D23" i="117"/>
  <c r="I21" i="117"/>
  <c r="K21" i="117" s="1"/>
  <c r="M21" i="117" s="1"/>
  <c r="O21" i="117" s="1"/>
  <c r="Q21" i="117" s="1"/>
  <c r="S21" i="117" s="1"/>
  <c r="U21" i="117" s="1"/>
  <c r="W21" i="117" s="1"/>
  <c r="Y21" i="117" s="1"/>
  <c r="AA21" i="117" s="1"/>
  <c r="AC21" i="117" s="1"/>
  <c r="AE21" i="117" s="1"/>
  <c r="AG21" i="117" s="1"/>
  <c r="AI21" i="117" s="1"/>
  <c r="AK21" i="117" s="1"/>
  <c r="AM21" i="117" s="1"/>
  <c r="AQ21" i="117" s="1"/>
  <c r="AN21" i="117"/>
  <c r="N207" i="116"/>
  <c r="N123" i="116"/>
  <c r="W123" i="116" s="1"/>
  <c r="N205" i="116"/>
  <c r="H11" i="116"/>
  <c r="F114" i="116"/>
  <c r="L114" i="116"/>
  <c r="AI208" i="116"/>
  <c r="N206" i="116"/>
  <c r="W202" i="116"/>
  <c r="M202" i="116"/>
  <c r="W200" i="116"/>
  <c r="M200" i="116"/>
  <c r="W198" i="116"/>
  <c r="M198" i="116"/>
  <c r="W196" i="116"/>
  <c r="M196" i="116"/>
  <c r="W194" i="116"/>
  <c r="M194" i="116"/>
  <c r="W192" i="116"/>
  <c r="M192" i="116"/>
  <c r="U190" i="116"/>
  <c r="M189" i="116"/>
  <c r="M188" i="116"/>
  <c r="J188" i="116"/>
  <c r="J190" i="116" s="1"/>
  <c r="M187" i="116"/>
  <c r="M186" i="116"/>
  <c r="M185" i="116"/>
  <c r="M184" i="116"/>
  <c r="M183" i="116"/>
  <c r="M182" i="116"/>
  <c r="M181" i="116"/>
  <c r="N180" i="116"/>
  <c r="M180" i="116"/>
  <c r="W179" i="116"/>
  <c r="M179" i="116"/>
  <c r="U177" i="116"/>
  <c r="M176" i="116"/>
  <c r="M175" i="116"/>
  <c r="M174" i="116"/>
  <c r="M173" i="116"/>
  <c r="M172" i="116"/>
  <c r="N171" i="116"/>
  <c r="W171" i="116" s="1"/>
  <c r="M171" i="116"/>
  <c r="M170" i="116"/>
  <c r="AG169" i="116"/>
  <c r="M169" i="116"/>
  <c r="N168" i="116"/>
  <c r="M168" i="116"/>
  <c r="W167" i="116"/>
  <c r="M167" i="116"/>
  <c r="W164" i="116"/>
  <c r="M164" i="116"/>
  <c r="W162" i="116"/>
  <c r="M162" i="116"/>
  <c r="W160" i="116"/>
  <c r="M160" i="116"/>
  <c r="W158" i="116"/>
  <c r="M158" i="116"/>
  <c r="W156" i="116"/>
  <c r="M156" i="116"/>
  <c r="W154" i="116"/>
  <c r="M154" i="116"/>
  <c r="W152" i="116"/>
  <c r="M152" i="116"/>
  <c r="W150" i="116"/>
  <c r="M150" i="116"/>
  <c r="W148" i="116"/>
  <c r="M148" i="116"/>
  <c r="W146" i="116"/>
  <c r="M146" i="116"/>
  <c r="W144" i="116"/>
  <c r="M144" i="116"/>
  <c r="W142" i="116"/>
  <c r="M142" i="116"/>
  <c r="W140" i="116"/>
  <c r="M140" i="116"/>
  <c r="U138" i="116"/>
  <c r="M137" i="116"/>
  <c r="M136" i="116"/>
  <c r="M135" i="116"/>
  <c r="M134" i="116"/>
  <c r="N133" i="116"/>
  <c r="W133" i="116" s="1"/>
  <c r="M133" i="116"/>
  <c r="W132" i="116"/>
  <c r="M132" i="116"/>
  <c r="U130" i="116"/>
  <c r="N129" i="116"/>
  <c r="W129" i="116" s="1"/>
  <c r="W128" i="116"/>
  <c r="M128" i="116"/>
  <c r="W126" i="116"/>
  <c r="M126" i="116"/>
  <c r="U124" i="116"/>
  <c r="M123" i="116"/>
  <c r="W122" i="116"/>
  <c r="M122" i="116"/>
  <c r="U120" i="116"/>
  <c r="M119" i="116"/>
  <c r="M118" i="116"/>
  <c r="M117" i="116"/>
  <c r="N116" i="116"/>
  <c r="M116" i="116"/>
  <c r="W115" i="116"/>
  <c r="Q115" i="116"/>
  <c r="Q122" i="116" s="1"/>
  <c r="Q126" i="116" s="1"/>
  <c r="Q128" i="116" s="1"/>
  <c r="Q132" i="116" s="1"/>
  <c r="Q140" i="116" s="1"/>
  <c r="Q142" i="116" s="1"/>
  <c r="Q144" i="116" s="1"/>
  <c r="Q146" i="116" s="1"/>
  <c r="Q148" i="116" s="1"/>
  <c r="Q150" i="116" s="1"/>
  <c r="Q152" i="116" s="1"/>
  <c r="Q154" i="116" s="1"/>
  <c r="Q156" i="116" s="1"/>
  <c r="Q158" i="116" s="1"/>
  <c r="Q160" i="116" s="1"/>
  <c r="Q162" i="116" s="1"/>
  <c r="Q164" i="116" s="1"/>
  <c r="Q167" i="116" s="1"/>
  <c r="Q179" i="116" s="1"/>
  <c r="Q192" i="116" s="1"/>
  <c r="Q194" i="116" s="1"/>
  <c r="Q196" i="116" s="1"/>
  <c r="Q198" i="116" s="1"/>
  <c r="Q200" i="116" s="1"/>
  <c r="M115" i="116"/>
  <c r="R114" i="116"/>
  <c r="R115" i="116" s="1"/>
  <c r="R122" i="116" s="1"/>
  <c r="R126" i="116" s="1"/>
  <c r="R128" i="116" s="1"/>
  <c r="R132" i="116" s="1"/>
  <c r="R140" i="116" s="1"/>
  <c r="R142" i="116" s="1"/>
  <c r="R144" i="116" s="1"/>
  <c r="R146" i="116" s="1"/>
  <c r="R148" i="116" s="1"/>
  <c r="R150" i="116" s="1"/>
  <c r="R152" i="116" s="1"/>
  <c r="Q114" i="116"/>
  <c r="P114" i="116"/>
  <c r="I114" i="116"/>
  <c r="AO113" i="116"/>
  <c r="AM113" i="116"/>
  <c r="D113" i="116"/>
  <c r="D80" i="116" s="1"/>
  <c r="D81" i="116" s="1"/>
  <c r="D82" i="116" s="1"/>
  <c r="D83" i="116" s="1"/>
  <c r="AN112" i="116"/>
  <c r="AL112" i="116"/>
  <c r="AO111" i="116"/>
  <c r="AP111" i="116" s="1"/>
  <c r="AQ111" i="116" s="1"/>
  <c r="AR111" i="116" s="1"/>
  <c r="AS111" i="116" s="1"/>
  <c r="AT111" i="116" s="1"/>
  <c r="AU111" i="116" s="1"/>
  <c r="AV111" i="116" s="1"/>
  <c r="AW111" i="116" s="1"/>
  <c r="AX111" i="116" s="1"/>
  <c r="AY111" i="116" s="1"/>
  <c r="AZ111" i="116" s="1"/>
  <c r="BA111" i="116" s="1"/>
  <c r="BB111" i="116" s="1"/>
  <c r="BC111" i="116" s="1"/>
  <c r="BD111" i="116" s="1"/>
  <c r="BE111" i="116" s="1"/>
  <c r="BF111" i="116" s="1"/>
  <c r="BG111" i="116" s="1"/>
  <c r="BH111" i="116" s="1"/>
  <c r="BI111" i="116" s="1"/>
  <c r="BJ111" i="116" s="1"/>
  <c r="BK111" i="116" s="1"/>
  <c r="BL111" i="116" s="1"/>
  <c r="BM111" i="116" s="1"/>
  <c r="BN111" i="116" s="1"/>
  <c r="BO111" i="116" s="1"/>
  <c r="BP111" i="116" s="1"/>
  <c r="BQ111" i="116" s="1"/>
  <c r="AM111" i="116"/>
  <c r="AN111" i="116" s="1"/>
  <c r="D111" i="116"/>
  <c r="D58" i="116" s="1"/>
  <c r="D60" i="116" s="1"/>
  <c r="D61" i="116" s="1"/>
  <c r="D62" i="116" s="1"/>
  <c r="H62" i="116" s="1"/>
  <c r="G107" i="116"/>
  <c r="G105" i="116"/>
  <c r="I102" i="116"/>
  <c r="J102" i="116" s="1"/>
  <c r="I101" i="116"/>
  <c r="I100" i="116"/>
  <c r="G98" i="116"/>
  <c r="I94" i="116"/>
  <c r="I95" i="116" s="1"/>
  <c r="I96" i="116" s="1"/>
  <c r="I97" i="116" s="1"/>
  <c r="I93" i="116"/>
  <c r="I92" i="116"/>
  <c r="G88" i="116"/>
  <c r="G64" i="116"/>
  <c r="J63" i="116"/>
  <c r="J62" i="116"/>
  <c r="J61" i="116"/>
  <c r="J60" i="116"/>
  <c r="G53" i="116"/>
  <c r="J52" i="116"/>
  <c r="J51" i="116"/>
  <c r="J50" i="116"/>
  <c r="J49" i="116"/>
  <c r="K53" i="116" s="1"/>
  <c r="K55" i="116" s="1"/>
  <c r="G41" i="116"/>
  <c r="J40" i="116"/>
  <c r="E40" i="116"/>
  <c r="E49" i="116" s="1"/>
  <c r="E50" i="116" s="1"/>
  <c r="E51" i="116" s="1"/>
  <c r="E52" i="116" s="1"/>
  <c r="E60" i="116" s="1"/>
  <c r="E61" i="116" s="1"/>
  <c r="E62" i="116" s="1"/>
  <c r="E63" i="116" s="1"/>
  <c r="J39" i="116"/>
  <c r="E39" i="116"/>
  <c r="J38" i="116"/>
  <c r="E38" i="116"/>
  <c r="J37" i="116"/>
  <c r="E37" i="116"/>
  <c r="J36" i="116"/>
  <c r="E36" i="116"/>
  <c r="J35" i="116"/>
  <c r="E35" i="116"/>
  <c r="J34" i="116"/>
  <c r="K41" i="116" s="1"/>
  <c r="K43" i="116" s="1"/>
  <c r="K28" i="116" s="1"/>
  <c r="E34" i="116"/>
  <c r="J33" i="116"/>
  <c r="G26" i="116"/>
  <c r="J25" i="116"/>
  <c r="J24" i="116"/>
  <c r="J23" i="116"/>
  <c r="J22" i="116"/>
  <c r="J21" i="116"/>
  <c r="J20" i="116"/>
  <c r="J19" i="116"/>
  <c r="J18" i="116"/>
  <c r="E18" i="116"/>
  <c r="E19" i="116" s="1"/>
  <c r="E20" i="116" s="1"/>
  <c r="E21" i="116" s="1"/>
  <c r="E22" i="116" s="1"/>
  <c r="E23" i="116" s="1"/>
  <c r="E24" i="116" s="1"/>
  <c r="E25" i="116" s="1"/>
  <c r="J17" i="116"/>
  <c r="J16" i="116"/>
  <c r="J15" i="116"/>
  <c r="J14" i="116"/>
  <c r="J13" i="116"/>
  <c r="J12" i="116"/>
  <c r="J11" i="116"/>
  <c r="J71" i="116" s="1"/>
  <c r="J10" i="116"/>
  <c r="J5" i="116"/>
  <c r="D5" i="116"/>
  <c r="H82" i="116" l="1"/>
  <c r="J82" i="116" s="1"/>
  <c r="D47" i="116"/>
  <c r="D49" i="116" s="1"/>
  <c r="H81" i="116"/>
  <c r="J81" i="116" s="1"/>
  <c r="D114" i="116"/>
  <c r="H114" i="116" s="1"/>
  <c r="J114" i="116" s="1"/>
  <c r="J115" i="116" s="1"/>
  <c r="AN5" i="117"/>
  <c r="D66" i="117"/>
  <c r="E60" i="117"/>
  <c r="G60" i="117" s="1"/>
  <c r="AG77" i="117"/>
  <c r="AE78" i="117" s="1"/>
  <c r="BJ51" i="117"/>
  <c r="BL51" i="117" s="1"/>
  <c r="BL41" i="117"/>
  <c r="BO39" i="117"/>
  <c r="BQ39" i="117" s="1"/>
  <c r="BV39" i="117"/>
  <c r="BV55" i="117"/>
  <c r="BO55" i="117"/>
  <c r="BQ55" i="117" s="1"/>
  <c r="BO31" i="117"/>
  <c r="BV31" i="117"/>
  <c r="BV49" i="117"/>
  <c r="BO49" i="117"/>
  <c r="BQ49" i="117" s="1"/>
  <c r="BO45" i="117"/>
  <c r="BQ45" i="117" s="1"/>
  <c r="BV45" i="117"/>
  <c r="E39" i="117"/>
  <c r="C40" i="117"/>
  <c r="BL44" i="117"/>
  <c r="BJ54" i="117"/>
  <c r="BL54" i="117" s="1"/>
  <c r="I17" i="117"/>
  <c r="G30" i="117"/>
  <c r="BV46" i="117"/>
  <c r="BO46" i="117"/>
  <c r="BQ46" i="117" s="1"/>
  <c r="AP32" i="117"/>
  <c r="BL42" i="117"/>
  <c r="BJ52" i="117"/>
  <c r="BL52" i="117" s="1"/>
  <c r="BO48" i="117"/>
  <c r="BQ48" i="117" s="1"/>
  <c r="BV48" i="117"/>
  <c r="AN25" i="117"/>
  <c r="AN23" i="117"/>
  <c r="S10" i="117"/>
  <c r="U10" i="117" s="1"/>
  <c r="BV36" i="117"/>
  <c r="BO36" i="117"/>
  <c r="BQ36" i="117" s="1"/>
  <c r="BJ53" i="117"/>
  <c r="BL53" i="117" s="1"/>
  <c r="BL43" i="117"/>
  <c r="BV33" i="117"/>
  <c r="BO33" i="117"/>
  <c r="BQ33" i="117" s="1"/>
  <c r="BV34" i="117"/>
  <c r="BO34" i="117"/>
  <c r="BQ34" i="117" s="1"/>
  <c r="BV32" i="117"/>
  <c r="BO32" i="117"/>
  <c r="BQ32" i="117" s="1"/>
  <c r="BR26" i="117"/>
  <c r="BV38" i="117"/>
  <c r="BO38" i="117"/>
  <c r="BQ38" i="117" s="1"/>
  <c r="K53" i="117"/>
  <c r="BD27" i="117"/>
  <c r="BF26" i="117"/>
  <c r="N134" i="116"/>
  <c r="Q202" i="116"/>
  <c r="S206" i="116"/>
  <c r="R156" i="116"/>
  <c r="R160" i="116" s="1"/>
  <c r="R154" i="116"/>
  <c r="K69" i="116"/>
  <c r="J73" i="116" s="1"/>
  <c r="H60" i="116"/>
  <c r="W134" i="116"/>
  <c r="N135" i="116"/>
  <c r="N117" i="116"/>
  <c r="W116" i="116"/>
  <c r="H61" i="116"/>
  <c r="I103" i="116"/>
  <c r="I104" i="116" s="1"/>
  <c r="D10" i="116"/>
  <c r="D11" i="116" s="1"/>
  <c r="D12" i="116" s="1"/>
  <c r="H5" i="116"/>
  <c r="J6" i="116" s="1"/>
  <c r="D84" i="116"/>
  <c r="H83" i="116"/>
  <c r="J83" i="116" s="1"/>
  <c r="D63" i="116"/>
  <c r="H63" i="116" s="1"/>
  <c r="D31" i="116"/>
  <c r="D33" i="116" s="1"/>
  <c r="N181" i="116"/>
  <c r="W180" i="116"/>
  <c r="K64" i="116"/>
  <c r="K66" i="116" s="1"/>
  <c r="K26" i="116"/>
  <c r="N169" i="116"/>
  <c r="W168" i="116"/>
  <c r="J36" i="1"/>
  <c r="J34" i="1"/>
  <c r="J30" i="1"/>
  <c r="J32" i="1"/>
  <c r="T17" i="8"/>
  <c r="T16" i="8"/>
  <c r="AI210" i="116" l="1"/>
  <c r="H49" i="116"/>
  <c r="D50" i="116"/>
  <c r="AG78" i="117"/>
  <c r="AE79" i="117" s="1"/>
  <c r="BO43" i="117"/>
  <c r="BQ43" i="117" s="1"/>
  <c r="BV43" i="117"/>
  <c r="K17" i="117"/>
  <c r="M17" i="117" s="1"/>
  <c r="I30" i="117"/>
  <c r="BO41" i="117"/>
  <c r="BQ41" i="117" s="1"/>
  <c r="BV41" i="117"/>
  <c r="BO52" i="117"/>
  <c r="BQ52" i="117" s="1"/>
  <c r="BV52" i="117"/>
  <c r="BV51" i="117"/>
  <c r="BO51" i="117"/>
  <c r="BQ51" i="117" s="1"/>
  <c r="BV54" i="117"/>
  <c r="BO54" i="117"/>
  <c r="BQ54" i="117" s="1"/>
  <c r="BT26" i="117"/>
  <c r="BR27" i="117"/>
  <c r="BV42" i="117"/>
  <c r="BO42" i="117"/>
  <c r="BQ42" i="117" s="1"/>
  <c r="W10" i="117"/>
  <c r="Y10" i="117" s="1"/>
  <c r="BV44" i="117"/>
  <c r="BO44" i="117"/>
  <c r="BQ44" i="117" s="1"/>
  <c r="AP35" i="117"/>
  <c r="AQ35" i="117" s="1"/>
  <c r="BQ31" i="117"/>
  <c r="BF27" i="117"/>
  <c r="BD28" i="117"/>
  <c r="BO53" i="117"/>
  <c r="BQ53" i="117" s="1"/>
  <c r="BV53" i="117"/>
  <c r="E40" i="117"/>
  <c r="C41" i="117"/>
  <c r="I60" i="117"/>
  <c r="G72" i="117"/>
  <c r="N182" i="116"/>
  <c r="W181" i="116"/>
  <c r="D34" i="116"/>
  <c r="H33" i="116"/>
  <c r="O115" i="116"/>
  <c r="J122" i="116"/>
  <c r="N170" i="116"/>
  <c r="W169" i="116"/>
  <c r="H84" i="116"/>
  <c r="D85" i="116"/>
  <c r="N118" i="116"/>
  <c r="W117" i="116"/>
  <c r="J76" i="116"/>
  <c r="J75" i="116"/>
  <c r="N136" i="116"/>
  <c r="W136" i="116" s="1"/>
  <c r="N137" i="116"/>
  <c r="W137" i="116" s="1"/>
  <c r="W135" i="116"/>
  <c r="R158" i="116"/>
  <c r="R162" i="116" s="1"/>
  <c r="R164" i="116"/>
  <c r="R167" i="116" s="1"/>
  <c r="R179" i="116" s="1"/>
  <c r="R192" i="116" s="1"/>
  <c r="R194" i="116" s="1"/>
  <c r="H18" i="116"/>
  <c r="D13" i="116"/>
  <c r="H64" i="116"/>
  <c r="J28" i="1"/>
  <c r="J27" i="1"/>
  <c r="H50" i="116" l="1"/>
  <c r="D51" i="116"/>
  <c r="AG79" i="117"/>
  <c r="AE80" i="117"/>
  <c r="O17" i="117"/>
  <c r="Q17" i="117" s="1"/>
  <c r="M30" i="117"/>
  <c r="AA10" i="117"/>
  <c r="AC10" i="117" s="1"/>
  <c r="K60" i="117"/>
  <c r="K72" i="117" s="1"/>
  <c r="I72" i="117"/>
  <c r="BT27" i="117"/>
  <c r="BR28" i="117"/>
  <c r="BF28" i="117"/>
  <c r="BD29" i="117" s="1"/>
  <c r="C42" i="117"/>
  <c r="E41" i="117"/>
  <c r="J77" i="116"/>
  <c r="S115" i="116"/>
  <c r="R198" i="116"/>
  <c r="R200" i="116" s="1"/>
  <c r="R202" i="116" s="1"/>
  <c r="R196" i="116"/>
  <c r="N119" i="116"/>
  <c r="W119" i="116" s="1"/>
  <c r="W118" i="116"/>
  <c r="H34" i="116"/>
  <c r="D35" i="116"/>
  <c r="H85" i="116"/>
  <c r="J85" i="116" s="1"/>
  <c r="D86" i="116"/>
  <c r="J84" i="116"/>
  <c r="N172" i="116"/>
  <c r="W170" i="116"/>
  <c r="H10" i="116"/>
  <c r="D14" i="116"/>
  <c r="O122" i="116"/>
  <c r="S122" i="116" s="1"/>
  <c r="J126" i="116"/>
  <c r="W182" i="116"/>
  <c r="N183" i="116"/>
  <c r="R5" i="1"/>
  <c r="R6" i="1" s="1"/>
  <c r="R7" i="1" s="1"/>
  <c r="R8" i="1" s="1"/>
  <c r="C30" i="1"/>
  <c r="C32" i="1" s="1"/>
  <c r="D52" i="116" l="1"/>
  <c r="H52" i="116" s="1"/>
  <c r="H51" i="116"/>
  <c r="H53" i="116" s="1"/>
  <c r="BF29" i="117"/>
  <c r="BD30" i="117"/>
  <c r="AG80" i="117"/>
  <c r="AE81" i="117" s="1"/>
  <c r="AE10" i="117"/>
  <c r="AG10" i="117" s="1"/>
  <c r="E42" i="117"/>
  <c r="C43" i="117"/>
  <c r="E43" i="117" s="1"/>
  <c r="BT28" i="117"/>
  <c r="BR29" i="117"/>
  <c r="S17" i="117"/>
  <c r="U17" i="117" s="1"/>
  <c r="Q30" i="117"/>
  <c r="D36" i="116"/>
  <c r="H35" i="116"/>
  <c r="N173" i="116"/>
  <c r="W172" i="116"/>
  <c r="N184" i="116"/>
  <c r="W183" i="116"/>
  <c r="J128" i="116"/>
  <c r="O126" i="116"/>
  <c r="S123" i="116"/>
  <c r="V123" i="116" s="1"/>
  <c r="AG123" i="116" s="1"/>
  <c r="V122" i="116"/>
  <c r="AG122" i="116" s="1"/>
  <c r="D87" i="116"/>
  <c r="H86" i="116"/>
  <c r="D15" i="116"/>
  <c r="S116" i="116"/>
  <c r="V115" i="116"/>
  <c r="R9" i="1"/>
  <c r="R10" i="1" s="1"/>
  <c r="R11" i="1" s="1"/>
  <c r="R12" i="1" s="1"/>
  <c r="U8" i="1"/>
  <c r="U9" i="1"/>
  <c r="AE82" i="117" l="1"/>
  <c r="AG81" i="117"/>
  <c r="AI10" i="117"/>
  <c r="AK10" i="117" s="1"/>
  <c r="AN10" i="117"/>
  <c r="W17" i="117"/>
  <c r="Y17" i="117" s="1"/>
  <c r="U30" i="117"/>
  <c r="BT29" i="117"/>
  <c r="BR30" i="117"/>
  <c r="BF30" i="117"/>
  <c r="BD31" i="117" s="1"/>
  <c r="J86" i="116"/>
  <c r="V116" i="116"/>
  <c r="AC116" i="116" s="1"/>
  <c r="S117" i="116"/>
  <c r="S126" i="116"/>
  <c r="V126" i="116" s="1"/>
  <c r="AF126" i="116" s="1"/>
  <c r="O128" i="116"/>
  <c r="S128" i="116" s="1"/>
  <c r="J132" i="116"/>
  <c r="N185" i="116"/>
  <c r="W184" i="116"/>
  <c r="H87" i="116"/>
  <c r="J87" i="116" s="1"/>
  <c r="D91" i="116"/>
  <c r="AC115" i="116"/>
  <c r="W173" i="116"/>
  <c r="N174" i="116"/>
  <c r="H36" i="116"/>
  <c r="D37" i="116"/>
  <c r="H12" i="116"/>
  <c r="D16" i="116"/>
  <c r="D17" i="116" s="1"/>
  <c r="H23" i="116"/>
  <c r="U10" i="1"/>
  <c r="C19" i="115"/>
  <c r="D17" i="115" s="1"/>
  <c r="D18" i="115"/>
  <c r="E18" i="115" s="1"/>
  <c r="F18" i="115" s="1"/>
  <c r="G18" i="115" s="1"/>
  <c r="C24" i="115" s="1"/>
  <c r="D24" i="115" s="1"/>
  <c r="E24" i="115" s="1"/>
  <c r="F24" i="115" s="1"/>
  <c r="G24" i="115" s="1"/>
  <c r="Q43" i="115"/>
  <c r="Q44" i="115" s="1"/>
  <c r="Q45" i="115" s="1"/>
  <c r="Q46" i="115" s="1"/>
  <c r="Q47" i="115" s="1"/>
  <c r="Q48" i="115" s="1"/>
  <c r="Q49" i="115" s="1"/>
  <c r="Q50" i="115" s="1"/>
  <c r="Q51" i="115" s="1"/>
  <c r="Q52" i="115" s="1"/>
  <c r="Q53" i="115" s="1"/>
  <c r="Q54" i="115" s="1"/>
  <c r="Q55" i="115" s="1"/>
  <c r="Q56" i="115" s="1"/>
  <c r="Q57" i="115" s="1"/>
  <c r="Q58" i="115" s="1"/>
  <c r="Q59" i="115" s="1"/>
  <c r="Q60" i="115" s="1"/>
  <c r="Q61" i="115" s="1"/>
  <c r="Q62" i="115" s="1"/>
  <c r="Q63" i="115" s="1"/>
  <c r="Q64" i="115" s="1"/>
  <c r="O42" i="115"/>
  <c r="O43" i="115" s="1"/>
  <c r="O44" i="115" s="1"/>
  <c r="O45" i="115" s="1"/>
  <c r="O46" i="115" s="1"/>
  <c r="O47" i="115" s="1"/>
  <c r="O48" i="115" s="1"/>
  <c r="O49" i="115" s="1"/>
  <c r="O50" i="115" s="1"/>
  <c r="O51" i="115" s="1"/>
  <c r="O52" i="115" s="1"/>
  <c r="O53" i="115" s="1"/>
  <c r="O54" i="115" s="1"/>
  <c r="O55" i="115" s="1"/>
  <c r="O56" i="115" s="1"/>
  <c r="O57" i="115" s="1"/>
  <c r="O58" i="115" s="1"/>
  <c r="O59" i="115" s="1"/>
  <c r="O60" i="115" s="1"/>
  <c r="O61" i="115" s="1"/>
  <c r="O62" i="115" s="1"/>
  <c r="O63" i="115" s="1"/>
  <c r="O64" i="115" s="1"/>
  <c r="AO40" i="115"/>
  <c r="AO42" i="115" s="1"/>
  <c r="AO43" i="115" s="1"/>
  <c r="AM40" i="115"/>
  <c r="AW38" i="115"/>
  <c r="AW37" i="115"/>
  <c r="BI35" i="115"/>
  <c r="O35" i="115"/>
  <c r="BI34" i="115"/>
  <c r="AK32" i="115"/>
  <c r="AK34" i="115" s="1"/>
  <c r="AL34" i="115" s="1"/>
  <c r="AN34" i="115" s="1"/>
  <c r="AY31" i="115"/>
  <c r="AK30" i="115"/>
  <c r="O30" i="115"/>
  <c r="AN28" i="115"/>
  <c r="AE25" i="115"/>
  <c r="AF25" i="115" s="1"/>
  <c r="AG25" i="115" s="1"/>
  <c r="V25" i="115"/>
  <c r="W25" i="115" s="1"/>
  <c r="P25" i="115"/>
  <c r="O22" i="115"/>
  <c r="O23" i="115" s="1"/>
  <c r="Y20" i="115"/>
  <c r="Z20" i="115" s="1"/>
  <c r="AA20" i="115" s="1"/>
  <c r="AB20" i="115" s="1"/>
  <c r="AC20" i="115" s="1"/>
  <c r="AD20" i="115" s="1"/>
  <c r="AE20" i="115" s="1"/>
  <c r="AF20" i="115" s="1"/>
  <c r="AG20" i="115" s="1"/>
  <c r="P18" i="115"/>
  <c r="Q18" i="115" s="1"/>
  <c r="Q22" i="115" s="1"/>
  <c r="Q24" i="115" s="1"/>
  <c r="Y16" i="115"/>
  <c r="W16" i="115"/>
  <c r="T16" i="115"/>
  <c r="U16" i="115" s="1"/>
  <c r="R16" i="115"/>
  <c r="P16" i="115"/>
  <c r="AW13" i="115"/>
  <c r="AW15" i="115" s="1"/>
  <c r="AT13" i="115"/>
  <c r="AT15" i="115" s="1"/>
  <c r="P13" i="115"/>
  <c r="Q13" i="115" s="1"/>
  <c r="R13" i="115" s="1"/>
  <c r="S13" i="115" s="1"/>
  <c r="T13" i="115" s="1"/>
  <c r="U13" i="115" s="1"/>
  <c r="V13" i="115" s="1"/>
  <c r="Q12" i="115"/>
  <c r="R12" i="115" s="1"/>
  <c r="S12" i="115" s="1"/>
  <c r="T12" i="115" s="1"/>
  <c r="U12" i="115" s="1"/>
  <c r="V12" i="115" s="1"/>
  <c r="P12" i="115"/>
  <c r="AL11" i="115"/>
  <c r="AG10" i="115"/>
  <c r="AW39" i="115" s="1"/>
  <c r="AW40" i="115" s="1"/>
  <c r="AW41" i="115" s="1"/>
  <c r="AF10" i="115"/>
  <c r="AF11" i="115" s="1"/>
  <c r="AF17" i="115" s="1"/>
  <c r="AE10" i="115"/>
  <c r="AE11" i="115" s="1"/>
  <c r="O10" i="115"/>
  <c r="O11" i="115" s="1"/>
  <c r="T9" i="115"/>
  <c r="U9" i="115" s="1"/>
  <c r="V9" i="115" s="1"/>
  <c r="P8" i="115"/>
  <c r="P10" i="115" s="1"/>
  <c r="P11" i="115" s="1"/>
  <c r="BC4" i="115"/>
  <c r="BD4" i="115" s="1"/>
  <c r="BE4" i="115" s="1"/>
  <c r="BF4" i="115" s="1"/>
  <c r="BG4" i="115" s="1"/>
  <c r="BH4" i="115" s="1"/>
  <c r="BI4" i="115" s="1"/>
  <c r="BJ4" i="115" s="1"/>
  <c r="BK4" i="115" s="1"/>
  <c r="BL4" i="115" s="1"/>
  <c r="BM4" i="115" s="1"/>
  <c r="BB7" i="115" s="1"/>
  <c r="BC7" i="115" s="1"/>
  <c r="BD7" i="115" s="1"/>
  <c r="BE7" i="115" s="1"/>
  <c r="BF7" i="115" s="1"/>
  <c r="BG7" i="115" s="1"/>
  <c r="BH7" i="115" s="1"/>
  <c r="BI7" i="115" s="1"/>
  <c r="BJ7" i="115" s="1"/>
  <c r="BK7" i="115" s="1"/>
  <c r="BL7" i="115" s="1"/>
  <c r="H88" i="116" l="1"/>
  <c r="BD32" i="117"/>
  <c r="BF31" i="117"/>
  <c r="AT47" i="117"/>
  <c r="AV47" i="117" s="1"/>
  <c r="AA17" i="117"/>
  <c r="AC17" i="117" s="1"/>
  <c r="Y30" i="117"/>
  <c r="AG82" i="117"/>
  <c r="AQ47" i="117"/>
  <c r="AE83" i="117"/>
  <c r="AM10" i="117"/>
  <c r="AQ10" i="117" s="1"/>
  <c r="BT30" i="117"/>
  <c r="BR31" i="117"/>
  <c r="H37" i="116"/>
  <c r="D38" i="116"/>
  <c r="N175" i="116"/>
  <c r="W174" i="116"/>
  <c r="W185" i="116"/>
  <c r="N186" i="116"/>
  <c r="J88" i="116"/>
  <c r="H20" i="116"/>
  <c r="D18" i="116"/>
  <c r="D92" i="116"/>
  <c r="H91" i="116"/>
  <c r="O132" i="116"/>
  <c r="J140" i="116"/>
  <c r="S118" i="116"/>
  <c r="V117" i="116"/>
  <c r="S129" i="116"/>
  <c r="V129" i="116" s="1"/>
  <c r="AG129" i="116" s="1"/>
  <c r="V128" i="116"/>
  <c r="AE128" i="116" s="1"/>
  <c r="O17" i="115"/>
  <c r="AE17" i="115"/>
  <c r="P42" i="115"/>
  <c r="M43" i="115" s="1"/>
  <c r="P43" i="115" s="1"/>
  <c r="M44" i="115" s="1"/>
  <c r="P44" i="115" s="1"/>
  <c r="M45" i="115" s="1"/>
  <c r="P45" i="115" s="1"/>
  <c r="M46" i="115" s="1"/>
  <c r="P46" i="115" s="1"/>
  <c r="M47" i="115" s="1"/>
  <c r="P47" i="115" s="1"/>
  <c r="M48" i="115" s="1"/>
  <c r="P48" i="115" s="1"/>
  <c r="M49" i="115" s="1"/>
  <c r="P49" i="115" s="1"/>
  <c r="M50" i="115" s="1"/>
  <c r="P50" i="115" s="1"/>
  <c r="M51" i="115" s="1"/>
  <c r="P51" i="115" s="1"/>
  <c r="M52" i="115" s="1"/>
  <c r="P52" i="115" s="1"/>
  <c r="M53" i="115" s="1"/>
  <c r="P53" i="115" s="1"/>
  <c r="M54" i="115" s="1"/>
  <c r="P54" i="115" s="1"/>
  <c r="M55" i="115" s="1"/>
  <c r="P55" i="115" s="1"/>
  <c r="M56" i="115" s="1"/>
  <c r="P56" i="115" s="1"/>
  <c r="M57" i="115" s="1"/>
  <c r="P57" i="115" s="1"/>
  <c r="M58" i="115" s="1"/>
  <c r="P58" i="115" s="1"/>
  <c r="M59" i="115" s="1"/>
  <c r="P59" i="115" s="1"/>
  <c r="M60" i="115" s="1"/>
  <c r="P60" i="115" s="1"/>
  <c r="M61" i="115" s="1"/>
  <c r="P61" i="115" s="1"/>
  <c r="M62" i="115" s="1"/>
  <c r="P62" i="115" s="1"/>
  <c r="M63" i="115" s="1"/>
  <c r="P63" i="115" s="1"/>
  <c r="M64" i="115" s="1"/>
  <c r="P64" i="115" s="1"/>
  <c r="P17" i="115"/>
  <c r="D19" i="115"/>
  <c r="E17" i="115" s="1"/>
  <c r="E19" i="115" s="1"/>
  <c r="F17" i="115" s="1"/>
  <c r="F19" i="115" s="1"/>
  <c r="G17" i="115" s="1"/>
  <c r="G19" i="115" s="1"/>
  <c r="C23" i="115" s="1"/>
  <c r="C25" i="115" s="1"/>
  <c r="D23" i="115" s="1"/>
  <c r="D25" i="115" s="1"/>
  <c r="E23" i="115" s="1"/>
  <c r="E25" i="115" s="1"/>
  <c r="F23" i="115" s="1"/>
  <c r="F25" i="115" s="1"/>
  <c r="G23" i="115" s="1"/>
  <c r="G25" i="115" s="1"/>
  <c r="Q8" i="115"/>
  <c r="Q10" i="115" s="1"/>
  <c r="P22" i="115"/>
  <c r="P23" i="115" s="1"/>
  <c r="X9" i="115"/>
  <c r="W9" i="115"/>
  <c r="W10" i="115" s="1"/>
  <c r="R18" i="115"/>
  <c r="O24" i="115"/>
  <c r="O26" i="115" s="1"/>
  <c r="O27" i="115" s="1"/>
  <c r="O31" i="115" s="1"/>
  <c r="O32" i="115" s="1"/>
  <c r="Q23" i="115"/>
  <c r="AG11" i="115"/>
  <c r="AG17" i="115" s="1"/>
  <c r="AS47" i="117" l="1"/>
  <c r="W69" i="117"/>
  <c r="W72" i="117" s="1"/>
  <c r="BT31" i="117"/>
  <c r="BR32" i="117"/>
  <c r="AE17" i="117"/>
  <c r="AG17" i="117" s="1"/>
  <c r="AC30" i="117"/>
  <c r="AE84" i="117"/>
  <c r="AG83" i="117"/>
  <c r="BF32" i="117"/>
  <c r="BD33" i="117"/>
  <c r="D19" i="116"/>
  <c r="H15" i="116"/>
  <c r="H38" i="116"/>
  <c r="D39" i="116"/>
  <c r="J142" i="116"/>
  <c r="O140" i="116"/>
  <c r="S140" i="116" s="1"/>
  <c r="V140" i="116" s="1"/>
  <c r="AE140" i="116" s="1"/>
  <c r="S132" i="116"/>
  <c r="N176" i="116"/>
  <c r="W176" i="116" s="1"/>
  <c r="W175" i="116"/>
  <c r="D93" i="116"/>
  <c r="H92" i="116"/>
  <c r="J92" i="116" s="1"/>
  <c r="AC117" i="116"/>
  <c r="AL117" i="116"/>
  <c r="N187" i="116"/>
  <c r="W186" i="116"/>
  <c r="J91" i="116"/>
  <c r="V118" i="116"/>
  <c r="S119" i="116"/>
  <c r="V119" i="116" s="1"/>
  <c r="P26" i="115"/>
  <c r="P27" i="115" s="1"/>
  <c r="P29" i="115" s="1"/>
  <c r="P30" i="115" s="1"/>
  <c r="R8" i="115"/>
  <c r="P24" i="115"/>
  <c r="H19" i="115"/>
  <c r="H25" i="115"/>
  <c r="H27" i="115" s="1"/>
  <c r="Q11" i="115"/>
  <c r="Q17" i="115"/>
  <c r="Q26" i="115" s="1"/>
  <c r="Q27" i="115" s="1"/>
  <c r="R22" i="115"/>
  <c r="S18" i="115"/>
  <c r="W11" i="115"/>
  <c r="W17" i="115"/>
  <c r="R10" i="115"/>
  <c r="S8" i="115"/>
  <c r="Y9" i="115"/>
  <c r="X10" i="115"/>
  <c r="BF33" i="117" l="1"/>
  <c r="BD34" i="117" s="1"/>
  <c r="BT32" i="117"/>
  <c r="BR33" i="117"/>
  <c r="BY31" i="117"/>
  <c r="BT22" i="117"/>
  <c r="BT24" i="117" s="1"/>
  <c r="AG84" i="117"/>
  <c r="AE85" i="117"/>
  <c r="AI17" i="117"/>
  <c r="AK17" i="117" s="1"/>
  <c r="AG30" i="117"/>
  <c r="AN17" i="117"/>
  <c r="AN29" i="117" s="1"/>
  <c r="AN33" i="117" s="1"/>
  <c r="AN34" i="117" s="1"/>
  <c r="AA75" i="117"/>
  <c r="AN88" i="117"/>
  <c r="S133" i="116"/>
  <c r="V132" i="116"/>
  <c r="AC132" i="116" s="1"/>
  <c r="J144" i="116"/>
  <c r="O142" i="116"/>
  <c r="S142" i="116" s="1"/>
  <c r="AE119" i="116"/>
  <c r="AH119" i="116"/>
  <c r="H39" i="116"/>
  <c r="D40" i="116"/>
  <c r="H40" i="116" s="1"/>
  <c r="H41" i="116" s="1"/>
  <c r="AC118" i="116"/>
  <c r="H93" i="116"/>
  <c r="J93" i="116" s="1"/>
  <c r="D94" i="116"/>
  <c r="H16" i="116"/>
  <c r="D20" i="116"/>
  <c r="H14" i="116"/>
  <c r="H19" i="116"/>
  <c r="N188" i="116"/>
  <c r="W187" i="116"/>
  <c r="X11" i="115"/>
  <c r="X17" i="115"/>
  <c r="S22" i="115"/>
  <c r="T18" i="115"/>
  <c r="Z9" i="115"/>
  <c r="Y10" i="115"/>
  <c r="R24" i="115"/>
  <c r="R23" i="115"/>
  <c r="S10" i="115"/>
  <c r="T8" i="115"/>
  <c r="P31" i="115"/>
  <c r="P32" i="115" s="1"/>
  <c r="Q29" i="115"/>
  <c r="Q30" i="115" s="1"/>
  <c r="Q31" i="115"/>
  <c r="Q32" i="115" s="1"/>
  <c r="R11" i="115"/>
  <c r="R17" i="115" s="1"/>
  <c r="BF34" i="117" l="1"/>
  <c r="BD35" i="117" s="1"/>
  <c r="BT33" i="117"/>
  <c r="BR34" i="117"/>
  <c r="L72" i="117"/>
  <c r="M72" i="117" s="1"/>
  <c r="AQ31" i="117"/>
  <c r="AN48" i="117"/>
  <c r="AQ32" i="117"/>
  <c r="AS32" i="117" s="1"/>
  <c r="AM17" i="117"/>
  <c r="AQ17" i="117" s="1"/>
  <c r="AQ29" i="117" s="1"/>
  <c r="AS29" i="117" s="1"/>
  <c r="AT29" i="117" s="1"/>
  <c r="AK30" i="117"/>
  <c r="AN30" i="117" s="1"/>
  <c r="AG85" i="117"/>
  <c r="AE86" i="117"/>
  <c r="H17" i="116"/>
  <c r="D21" i="116"/>
  <c r="D22" i="116" s="1"/>
  <c r="H94" i="116"/>
  <c r="D95" i="116"/>
  <c r="V142" i="116"/>
  <c r="AE142" i="116" s="1"/>
  <c r="O144" i="116"/>
  <c r="J146" i="116"/>
  <c r="N189" i="116"/>
  <c r="W189" i="116" s="1"/>
  <c r="W188" i="116"/>
  <c r="V133" i="116"/>
  <c r="S134" i="116"/>
  <c r="R26" i="115"/>
  <c r="R27" i="115" s="1"/>
  <c r="R29" i="115"/>
  <c r="R30" i="115" s="1"/>
  <c r="R31" i="115"/>
  <c r="R32" i="115" s="1"/>
  <c r="Y11" i="115"/>
  <c r="Y17" i="115"/>
  <c r="Z10" i="115"/>
  <c r="AA9" i="115"/>
  <c r="T22" i="115"/>
  <c r="U18" i="115"/>
  <c r="S24" i="115"/>
  <c r="S23" i="115"/>
  <c r="U8" i="115"/>
  <c r="T10" i="115"/>
  <c r="S11" i="115"/>
  <c r="S17" i="115" s="1"/>
  <c r="S26" i="115" s="1"/>
  <c r="S27" i="115" s="1"/>
  <c r="DB4" i="112"/>
  <c r="DB3" i="112" s="1"/>
  <c r="BF35" i="117" l="1"/>
  <c r="BD36" i="117" s="1"/>
  <c r="AP43" i="117"/>
  <c r="AN49" i="117"/>
  <c r="AN56" i="117"/>
  <c r="Q72" i="117"/>
  <c r="S72" i="117"/>
  <c r="AE87" i="117"/>
  <c r="AG86" i="117"/>
  <c r="BT34" i="117"/>
  <c r="BR35" i="117"/>
  <c r="AS48" i="117"/>
  <c r="AS50" i="117" s="1"/>
  <c r="AS57" i="117" s="1"/>
  <c r="AT57" i="117" s="1"/>
  <c r="AT58" i="117" s="1"/>
  <c r="AS56" i="117" s="1"/>
  <c r="AS60" i="117"/>
  <c r="W205" i="116"/>
  <c r="H13" i="116"/>
  <c r="D23" i="116"/>
  <c r="S135" i="116"/>
  <c r="V134" i="116"/>
  <c r="AC134" i="116" s="1"/>
  <c r="AC133" i="116"/>
  <c r="H95" i="116"/>
  <c r="J95" i="116" s="1"/>
  <c r="D96" i="116"/>
  <c r="J94" i="116"/>
  <c r="O146" i="116"/>
  <c r="S146" i="116" s="1"/>
  <c r="V146" i="116" s="1"/>
  <c r="AD146" i="116" s="1"/>
  <c r="J148" i="116"/>
  <c r="S144" i="116"/>
  <c r="S29" i="115"/>
  <c r="S30" i="115" s="1"/>
  <c r="S31" i="115"/>
  <c r="S32" i="115" s="1"/>
  <c r="V18" i="115"/>
  <c r="U22" i="115"/>
  <c r="T24" i="115"/>
  <c r="T23" i="115"/>
  <c r="AA10" i="115"/>
  <c r="AB9" i="115"/>
  <c r="Z11" i="115"/>
  <c r="Z17" i="115" s="1"/>
  <c r="V8" i="115"/>
  <c r="V10" i="115" s="1"/>
  <c r="U10" i="115"/>
  <c r="T11" i="115"/>
  <c r="T17" i="115" s="1"/>
  <c r="T26" i="115" s="1"/>
  <c r="T27" i="115" s="1"/>
  <c r="BF36" i="117" l="1"/>
  <c r="BD37" i="117"/>
  <c r="AE88" i="117"/>
  <c r="AG87" i="117"/>
  <c r="U72" i="117"/>
  <c r="AV48" i="117"/>
  <c r="AS61" i="117"/>
  <c r="AX47" i="117"/>
  <c r="AV36" i="117" s="1"/>
  <c r="AN78" i="117"/>
  <c r="AN72" i="117"/>
  <c r="AN69" i="117"/>
  <c r="AN61" i="117"/>
  <c r="AN74" i="117"/>
  <c r="AN70" i="117"/>
  <c r="AN67" i="117"/>
  <c r="AN63" i="117"/>
  <c r="AN60" i="117"/>
  <c r="AN75" i="117"/>
  <c r="AN71" i="117"/>
  <c r="AN62" i="117"/>
  <c r="AN59" i="117"/>
  <c r="AN58" i="117"/>
  <c r="AN80" i="117"/>
  <c r="AN66" i="117"/>
  <c r="AN79" i="117"/>
  <c r="AN81" i="117"/>
  <c r="AN73" i="117"/>
  <c r="AN77" i="117"/>
  <c r="AN76" i="117"/>
  <c r="AN68" i="117"/>
  <c r="AO65" i="117"/>
  <c r="AO82" i="117" s="1"/>
  <c r="BT35" i="117"/>
  <c r="BR36" i="117"/>
  <c r="H22" i="116"/>
  <c r="D24" i="116"/>
  <c r="V144" i="116"/>
  <c r="J150" i="116"/>
  <c r="O148" i="116"/>
  <c r="S148" i="116" s="1"/>
  <c r="V148" i="116" s="1"/>
  <c r="AD148" i="116" s="1"/>
  <c r="S136" i="116"/>
  <c r="V135" i="116"/>
  <c r="H96" i="116"/>
  <c r="J96" i="116" s="1"/>
  <c r="D97" i="116"/>
  <c r="T29" i="115"/>
  <c r="T30" i="115" s="1"/>
  <c r="T31" i="115"/>
  <c r="T32" i="115" s="1"/>
  <c r="U11" i="115"/>
  <c r="U17" i="115" s="1"/>
  <c r="U26" i="115" s="1"/>
  <c r="U27" i="115" s="1"/>
  <c r="V11" i="115"/>
  <c r="V17" i="115" s="1"/>
  <c r="AW5" i="115"/>
  <c r="U23" i="115"/>
  <c r="U24" i="115"/>
  <c r="W18" i="115"/>
  <c r="V22" i="115"/>
  <c r="AA11" i="115"/>
  <c r="AA17" i="115" s="1"/>
  <c r="AB10" i="115"/>
  <c r="AC9" i="115"/>
  <c r="AP3" i="113"/>
  <c r="AP4" i="113"/>
  <c r="AF75" i="113"/>
  <c r="AF76" i="113" s="1"/>
  <c r="AF77" i="113" s="1"/>
  <c r="AF78" i="113" s="1"/>
  <c r="AF79" i="113" s="1"/>
  <c r="AF80" i="113" s="1"/>
  <c r="AF81" i="113" s="1"/>
  <c r="AF82" i="113" s="1"/>
  <c r="AF83" i="113" s="1"/>
  <c r="AF84" i="113" s="1"/>
  <c r="AF85" i="113" s="1"/>
  <c r="AF86" i="113" s="1"/>
  <c r="AF87" i="113" s="1"/>
  <c r="AF88" i="113" s="1"/>
  <c r="AF89" i="113" s="1"/>
  <c r="AF90" i="113" s="1"/>
  <c r="AF91" i="113" s="1"/>
  <c r="AF92" i="113" s="1"/>
  <c r="AF93" i="113" s="1"/>
  <c r="AF94" i="113" s="1"/>
  <c r="AF95" i="113" s="1"/>
  <c r="AF96" i="113" s="1"/>
  <c r="AF97" i="113" s="1"/>
  <c r="AF98" i="113" s="1"/>
  <c r="AF99" i="113" s="1"/>
  <c r="AF100" i="113" s="1"/>
  <c r="AF101" i="113" s="1"/>
  <c r="AF102" i="113" s="1"/>
  <c r="AF103" i="113" s="1"/>
  <c r="AF104" i="113" s="1"/>
  <c r="AF105" i="113" s="1"/>
  <c r="AF106" i="113" s="1"/>
  <c r="AD75" i="113"/>
  <c r="AD76" i="113" s="1"/>
  <c r="AD77" i="113" s="1"/>
  <c r="AD78" i="113" s="1"/>
  <c r="AD79" i="113" s="1"/>
  <c r="AD80" i="113" s="1"/>
  <c r="AD81" i="113" s="1"/>
  <c r="AD82" i="113" s="1"/>
  <c r="AD83" i="113" s="1"/>
  <c r="AD84" i="113" s="1"/>
  <c r="AD85" i="113" s="1"/>
  <c r="AD86" i="113" s="1"/>
  <c r="AD87" i="113" s="1"/>
  <c r="AD88" i="113" s="1"/>
  <c r="AD89" i="113" s="1"/>
  <c r="AD90" i="113" s="1"/>
  <c r="AD91" i="113" s="1"/>
  <c r="AD92" i="113" s="1"/>
  <c r="AD93" i="113" s="1"/>
  <c r="AD94" i="113" s="1"/>
  <c r="AD95" i="113" s="1"/>
  <c r="AD96" i="113" s="1"/>
  <c r="AD97" i="113" s="1"/>
  <c r="AD98" i="113" s="1"/>
  <c r="AD99" i="113" s="1"/>
  <c r="AD100" i="113" s="1"/>
  <c r="AD101" i="113" s="1"/>
  <c r="AD102" i="113" s="1"/>
  <c r="AD103" i="113" s="1"/>
  <c r="AD104" i="113" s="1"/>
  <c r="AD105" i="113" s="1"/>
  <c r="AD106" i="113" s="1"/>
  <c r="AF74" i="113"/>
  <c r="AG74" i="113" s="1"/>
  <c r="AE75" i="113" s="1"/>
  <c r="O72" i="113"/>
  <c r="S71" i="113"/>
  <c r="Q70" i="113"/>
  <c r="AS67" i="113"/>
  <c r="AS69" i="113" s="1"/>
  <c r="AS70" i="113" s="1"/>
  <c r="BN56" i="113"/>
  <c r="BM56" i="113"/>
  <c r="AT55" i="113"/>
  <c r="AL53" i="113"/>
  <c r="C37" i="113"/>
  <c r="C38" i="113" s="1"/>
  <c r="AR32" i="113"/>
  <c r="N27" i="113"/>
  <c r="R27" i="113" s="1"/>
  <c r="V27" i="113" s="1"/>
  <c r="Z27" i="113" s="1"/>
  <c r="AD27" i="113" s="1"/>
  <c r="AH27" i="113" s="1"/>
  <c r="AL27" i="113" s="1"/>
  <c r="L27" i="113"/>
  <c r="P27" i="113" s="1"/>
  <c r="T27" i="113" s="1"/>
  <c r="X27" i="113" s="1"/>
  <c r="AB27" i="113" s="1"/>
  <c r="AF27" i="113" s="1"/>
  <c r="AJ27" i="113" s="1"/>
  <c r="AP27" i="113" s="1"/>
  <c r="BS26" i="113"/>
  <c r="BS27" i="113" s="1"/>
  <c r="BS28" i="113" s="1"/>
  <c r="BS29" i="113" s="1"/>
  <c r="BS30" i="113" s="1"/>
  <c r="BS31" i="113" s="1"/>
  <c r="BS32" i="113" s="1"/>
  <c r="BS33" i="113" s="1"/>
  <c r="BS34" i="113" s="1"/>
  <c r="BS35" i="113" s="1"/>
  <c r="BS36" i="113" s="1"/>
  <c r="BS37" i="113" s="1"/>
  <c r="BS38" i="113" s="1"/>
  <c r="BS39" i="113" s="1"/>
  <c r="BS40" i="113" s="1"/>
  <c r="BS41" i="113" s="1"/>
  <c r="BS42" i="113" s="1"/>
  <c r="BS43" i="113" s="1"/>
  <c r="BS44" i="113" s="1"/>
  <c r="BS45" i="113" s="1"/>
  <c r="BS46" i="113" s="1"/>
  <c r="BS47" i="113" s="1"/>
  <c r="BS48" i="113" s="1"/>
  <c r="BS49" i="113" s="1"/>
  <c r="BS50" i="113" s="1"/>
  <c r="BS51" i="113" s="1"/>
  <c r="BS52" i="113" s="1"/>
  <c r="BS53" i="113" s="1"/>
  <c r="BS54" i="113" s="1"/>
  <c r="BS55" i="113" s="1"/>
  <c r="P25" i="113"/>
  <c r="T25" i="113" s="1"/>
  <c r="X25" i="113" s="1"/>
  <c r="AB25" i="113" s="1"/>
  <c r="AF25" i="113" s="1"/>
  <c r="AJ25" i="113" s="1"/>
  <c r="AP25" i="113" s="1"/>
  <c r="N25" i="113"/>
  <c r="R25" i="113" s="1"/>
  <c r="V25" i="113" s="1"/>
  <c r="Z25" i="113" s="1"/>
  <c r="AD25" i="113" s="1"/>
  <c r="AH25" i="113" s="1"/>
  <c r="AL25" i="113" s="1"/>
  <c r="L25" i="113"/>
  <c r="BW24" i="113"/>
  <c r="BW25" i="113" s="1"/>
  <c r="BW26" i="113" s="1"/>
  <c r="BW27" i="113" s="1"/>
  <c r="BW28" i="113" s="1"/>
  <c r="BW29" i="113" s="1"/>
  <c r="BW30" i="113" s="1"/>
  <c r="BW31" i="113" s="1"/>
  <c r="BW32" i="113" s="1"/>
  <c r="BW33" i="113" s="1"/>
  <c r="BW34" i="113" s="1"/>
  <c r="BW35" i="113" s="1"/>
  <c r="BW36" i="113" s="1"/>
  <c r="BW37" i="113" s="1"/>
  <c r="BW38" i="113" s="1"/>
  <c r="BW39" i="113" s="1"/>
  <c r="BW40" i="113" s="1"/>
  <c r="BW41" i="113" s="1"/>
  <c r="BW42" i="113" s="1"/>
  <c r="BW43" i="113" s="1"/>
  <c r="BW44" i="113" s="1"/>
  <c r="BW45" i="113" s="1"/>
  <c r="BW46" i="113" s="1"/>
  <c r="BW47" i="113" s="1"/>
  <c r="BW48" i="113" s="1"/>
  <c r="BW49" i="113" s="1"/>
  <c r="BW50" i="113" s="1"/>
  <c r="BW51" i="113" s="1"/>
  <c r="BW52" i="113" s="1"/>
  <c r="BW53" i="113" s="1"/>
  <c r="BW54" i="113" s="1"/>
  <c r="BW55" i="113" s="1"/>
  <c r="BI24" i="113"/>
  <c r="BI25" i="113" s="1"/>
  <c r="BI26" i="113" s="1"/>
  <c r="BI27" i="113" s="1"/>
  <c r="BI28" i="113" s="1"/>
  <c r="BI29" i="113" s="1"/>
  <c r="BI30" i="113" s="1"/>
  <c r="BI31" i="113" s="1"/>
  <c r="BI32" i="113" s="1"/>
  <c r="BI33" i="113" s="1"/>
  <c r="BI34" i="113" s="1"/>
  <c r="BI35" i="113" s="1"/>
  <c r="BI36" i="113" s="1"/>
  <c r="BI37" i="113" s="1"/>
  <c r="BI38" i="113" s="1"/>
  <c r="BI39" i="113" s="1"/>
  <c r="BI40" i="113" s="1"/>
  <c r="BI41" i="113" s="1"/>
  <c r="BI42" i="113" s="1"/>
  <c r="BI43" i="113" s="1"/>
  <c r="BI44" i="113" s="1"/>
  <c r="BI45" i="113" s="1"/>
  <c r="BI46" i="113" s="1"/>
  <c r="BI47" i="113" s="1"/>
  <c r="BI48" i="113" s="1"/>
  <c r="BI49" i="113" s="1"/>
  <c r="BI50" i="113" s="1"/>
  <c r="BI51" i="113" s="1"/>
  <c r="BI52" i="113" s="1"/>
  <c r="BI53" i="113" s="1"/>
  <c r="BI54" i="113" s="1"/>
  <c r="BI55" i="113" s="1"/>
  <c r="BE24" i="113"/>
  <c r="BE25" i="113" s="1"/>
  <c r="BE26" i="113" s="1"/>
  <c r="BE27" i="113" s="1"/>
  <c r="BE28" i="113" s="1"/>
  <c r="BE29" i="113" s="1"/>
  <c r="BE30" i="113" s="1"/>
  <c r="BE31" i="113" s="1"/>
  <c r="BE32" i="113" s="1"/>
  <c r="BE33" i="113" s="1"/>
  <c r="BE34" i="113" s="1"/>
  <c r="BE35" i="113" s="1"/>
  <c r="BE36" i="113" s="1"/>
  <c r="BE37" i="113" s="1"/>
  <c r="BE38" i="113" s="1"/>
  <c r="BE39" i="113" s="1"/>
  <c r="BE40" i="113" s="1"/>
  <c r="BE41" i="113" s="1"/>
  <c r="BE42" i="113" s="1"/>
  <c r="BE43" i="113" s="1"/>
  <c r="BE44" i="113" s="1"/>
  <c r="BE45" i="113" s="1"/>
  <c r="BE46" i="113" s="1"/>
  <c r="BE47" i="113" s="1"/>
  <c r="BE48" i="113" s="1"/>
  <c r="BE49" i="113" s="1"/>
  <c r="BE50" i="113" s="1"/>
  <c r="BE51" i="113" s="1"/>
  <c r="BE52" i="113" s="1"/>
  <c r="BE53" i="113" s="1"/>
  <c r="BE54" i="113" s="1"/>
  <c r="BE55" i="113" s="1"/>
  <c r="BC24" i="113"/>
  <c r="BC25" i="113" s="1"/>
  <c r="BC26" i="113" s="1"/>
  <c r="BC27" i="113" s="1"/>
  <c r="BC28" i="113" s="1"/>
  <c r="BC29" i="113" s="1"/>
  <c r="BC30" i="113" s="1"/>
  <c r="BC31" i="113" s="1"/>
  <c r="BC32" i="113" s="1"/>
  <c r="BC33" i="113" s="1"/>
  <c r="BC34" i="113" s="1"/>
  <c r="BC35" i="113" s="1"/>
  <c r="BC36" i="113" s="1"/>
  <c r="BC37" i="113" s="1"/>
  <c r="BC38" i="113" s="1"/>
  <c r="BC39" i="113" s="1"/>
  <c r="BC40" i="113" s="1"/>
  <c r="BC41" i="113" s="1"/>
  <c r="BC42" i="113" s="1"/>
  <c r="BC43" i="113" s="1"/>
  <c r="BC44" i="113" s="1"/>
  <c r="BC45" i="113" s="1"/>
  <c r="BC46" i="113" s="1"/>
  <c r="BC47" i="113" s="1"/>
  <c r="BC48" i="113" s="1"/>
  <c r="BC49" i="113" s="1"/>
  <c r="BC50" i="113" s="1"/>
  <c r="BC51" i="113" s="1"/>
  <c r="BC52" i="113" s="1"/>
  <c r="BC53" i="113" s="1"/>
  <c r="BC54" i="113" s="1"/>
  <c r="BC55" i="113" s="1"/>
  <c r="BF23" i="113"/>
  <c r="BD24" i="113" s="1"/>
  <c r="N23" i="113"/>
  <c r="R23" i="113" s="1"/>
  <c r="V23" i="113" s="1"/>
  <c r="Z23" i="113" s="1"/>
  <c r="AD23" i="113" s="1"/>
  <c r="AH23" i="113" s="1"/>
  <c r="AL23" i="113" s="1"/>
  <c r="L23" i="113"/>
  <c r="P23" i="113" s="1"/>
  <c r="T23" i="113" s="1"/>
  <c r="X23" i="113" s="1"/>
  <c r="AB23" i="113" s="1"/>
  <c r="AF23" i="113" s="1"/>
  <c r="AJ23" i="113" s="1"/>
  <c r="AP23" i="113" s="1"/>
  <c r="N21" i="113"/>
  <c r="R21" i="113" s="1"/>
  <c r="V21" i="113" s="1"/>
  <c r="Z21" i="113" s="1"/>
  <c r="AD21" i="113" s="1"/>
  <c r="AH21" i="113" s="1"/>
  <c r="AL21" i="113" s="1"/>
  <c r="L21" i="113"/>
  <c r="P21" i="113" s="1"/>
  <c r="T21" i="113" s="1"/>
  <c r="X21" i="113" s="1"/>
  <c r="AB21" i="113" s="1"/>
  <c r="AF21" i="113" s="1"/>
  <c r="AJ21" i="113" s="1"/>
  <c r="AP21" i="113" s="1"/>
  <c r="N17" i="113"/>
  <c r="R17" i="113" s="1"/>
  <c r="V17" i="113" s="1"/>
  <c r="Z17" i="113" s="1"/>
  <c r="AD17" i="113" s="1"/>
  <c r="AH17" i="113" s="1"/>
  <c r="AL17" i="113" s="1"/>
  <c r="L17" i="113"/>
  <c r="P17" i="113" s="1"/>
  <c r="T17" i="113" s="1"/>
  <c r="X17" i="113" s="1"/>
  <c r="AB17" i="113" s="1"/>
  <c r="AF17" i="113" s="1"/>
  <c r="AJ17" i="113" s="1"/>
  <c r="AP17" i="113" s="1"/>
  <c r="P14" i="113"/>
  <c r="T14" i="113" s="1"/>
  <c r="X14" i="113" s="1"/>
  <c r="AB14" i="113" s="1"/>
  <c r="AF14" i="113" s="1"/>
  <c r="AJ14" i="113" s="1"/>
  <c r="AP14" i="113" s="1"/>
  <c r="N14" i="113"/>
  <c r="R14" i="113" s="1"/>
  <c r="V14" i="113" s="1"/>
  <c r="Z14" i="113" s="1"/>
  <c r="AD14" i="113" s="1"/>
  <c r="AH14" i="113" s="1"/>
  <c r="AL14" i="113" s="1"/>
  <c r="L14" i="113"/>
  <c r="P12" i="113"/>
  <c r="T12" i="113" s="1"/>
  <c r="X12" i="113" s="1"/>
  <c r="AB12" i="113" s="1"/>
  <c r="AF12" i="113" s="1"/>
  <c r="AJ12" i="113" s="1"/>
  <c r="AP12" i="113" s="1"/>
  <c r="N12" i="113"/>
  <c r="R12" i="113" s="1"/>
  <c r="V12" i="113" s="1"/>
  <c r="Z12" i="113" s="1"/>
  <c r="AD12" i="113" s="1"/>
  <c r="AH12" i="113" s="1"/>
  <c r="AL12" i="113" s="1"/>
  <c r="L12" i="113"/>
  <c r="T10" i="113"/>
  <c r="X10" i="113" s="1"/>
  <c r="AB10" i="113" s="1"/>
  <c r="AF10" i="113" s="1"/>
  <c r="AJ10" i="113" s="1"/>
  <c r="AP10" i="113" s="1"/>
  <c r="N10" i="113"/>
  <c r="R10" i="113" s="1"/>
  <c r="V10" i="113" s="1"/>
  <c r="Z10" i="113" s="1"/>
  <c r="AD10" i="113" s="1"/>
  <c r="AH10" i="113" s="1"/>
  <c r="AL10" i="113" s="1"/>
  <c r="L10" i="113"/>
  <c r="P10" i="113" s="1"/>
  <c r="E10" i="113"/>
  <c r="T5" i="113"/>
  <c r="X5" i="113" s="1"/>
  <c r="AB5" i="113" s="1"/>
  <c r="AF5" i="113" s="1"/>
  <c r="AJ5" i="113" s="1"/>
  <c r="AP5" i="113" s="1"/>
  <c r="N5" i="113"/>
  <c r="R5" i="113" s="1"/>
  <c r="V5" i="113" s="1"/>
  <c r="Z5" i="113" s="1"/>
  <c r="AD5" i="113" s="1"/>
  <c r="AH5" i="113" s="1"/>
  <c r="AL5" i="113" s="1"/>
  <c r="L5" i="113"/>
  <c r="P5" i="113" s="1"/>
  <c r="AF78" i="112"/>
  <c r="AF79" i="112" s="1"/>
  <c r="AF80" i="112" s="1"/>
  <c r="AF81" i="112" s="1"/>
  <c r="AF82" i="112" s="1"/>
  <c r="AF83" i="112" s="1"/>
  <c r="AF84" i="112" s="1"/>
  <c r="AF85" i="112" s="1"/>
  <c r="AF86" i="112" s="1"/>
  <c r="AF87" i="112" s="1"/>
  <c r="AF88" i="112" s="1"/>
  <c r="AF89" i="112" s="1"/>
  <c r="AF90" i="112" s="1"/>
  <c r="AF91" i="112" s="1"/>
  <c r="AF92" i="112" s="1"/>
  <c r="AF93" i="112" s="1"/>
  <c r="AF94" i="112" s="1"/>
  <c r="AF95" i="112" s="1"/>
  <c r="AF96" i="112" s="1"/>
  <c r="AF97" i="112" s="1"/>
  <c r="AF98" i="112" s="1"/>
  <c r="AF99" i="112" s="1"/>
  <c r="AF100" i="112" s="1"/>
  <c r="AF101" i="112" s="1"/>
  <c r="AF102" i="112" s="1"/>
  <c r="AF103" i="112" s="1"/>
  <c r="AF104" i="112" s="1"/>
  <c r="AF105" i="112" s="1"/>
  <c r="AF106" i="112" s="1"/>
  <c r="AD75" i="112"/>
  <c r="AD76" i="112" s="1"/>
  <c r="AD77" i="112" s="1"/>
  <c r="AD78" i="112" s="1"/>
  <c r="AD79" i="112" s="1"/>
  <c r="AD80" i="112" s="1"/>
  <c r="AD81" i="112" s="1"/>
  <c r="AD82" i="112" s="1"/>
  <c r="AD83" i="112" s="1"/>
  <c r="AD84" i="112" s="1"/>
  <c r="AD85" i="112" s="1"/>
  <c r="AD86" i="112" s="1"/>
  <c r="AD87" i="112" s="1"/>
  <c r="AD88" i="112" s="1"/>
  <c r="AD89" i="112" s="1"/>
  <c r="AD90" i="112" s="1"/>
  <c r="AD91" i="112" s="1"/>
  <c r="AD92" i="112" s="1"/>
  <c r="AD93" i="112" s="1"/>
  <c r="AD94" i="112" s="1"/>
  <c r="AD95" i="112" s="1"/>
  <c r="AD96" i="112" s="1"/>
  <c r="AD97" i="112" s="1"/>
  <c r="AD98" i="112" s="1"/>
  <c r="AD99" i="112" s="1"/>
  <c r="AD100" i="112" s="1"/>
  <c r="AD101" i="112" s="1"/>
  <c r="AD102" i="112" s="1"/>
  <c r="AD103" i="112" s="1"/>
  <c r="AD104" i="112" s="1"/>
  <c r="AD105" i="112" s="1"/>
  <c r="AD106" i="112" s="1"/>
  <c r="AF74" i="112"/>
  <c r="AF75" i="112" s="1"/>
  <c r="AF76" i="112" s="1"/>
  <c r="AF77" i="112" s="1"/>
  <c r="O72" i="112"/>
  <c r="S71" i="112"/>
  <c r="Q70" i="112"/>
  <c r="DE67" i="112"/>
  <c r="DE69" i="112" s="1"/>
  <c r="DE70" i="112" s="1"/>
  <c r="DZ56" i="112"/>
  <c r="DY56" i="112"/>
  <c r="DF55" i="112"/>
  <c r="CX53" i="112"/>
  <c r="C37" i="112"/>
  <c r="DC35" i="112"/>
  <c r="DD32" i="112"/>
  <c r="N27" i="112"/>
  <c r="R27" i="112" s="1"/>
  <c r="V27" i="112" s="1"/>
  <c r="Z27" i="112" s="1"/>
  <c r="AD27" i="112" s="1"/>
  <c r="L27" i="112"/>
  <c r="P27" i="112" s="1"/>
  <c r="T27" i="112" s="1"/>
  <c r="X27" i="112" s="1"/>
  <c r="AB27" i="112" s="1"/>
  <c r="EE26" i="112"/>
  <c r="EE27" i="112" s="1"/>
  <c r="EE28" i="112" s="1"/>
  <c r="EE29" i="112" s="1"/>
  <c r="EE30" i="112" s="1"/>
  <c r="EE31" i="112" s="1"/>
  <c r="EE32" i="112" s="1"/>
  <c r="EE33" i="112" s="1"/>
  <c r="EE34" i="112" s="1"/>
  <c r="EE35" i="112" s="1"/>
  <c r="EE36" i="112" s="1"/>
  <c r="EE37" i="112" s="1"/>
  <c r="EE38" i="112" s="1"/>
  <c r="EE39" i="112" s="1"/>
  <c r="EE40" i="112" s="1"/>
  <c r="EE41" i="112" s="1"/>
  <c r="EE42" i="112" s="1"/>
  <c r="EE43" i="112" s="1"/>
  <c r="EE44" i="112" s="1"/>
  <c r="EE45" i="112" s="1"/>
  <c r="EE46" i="112" s="1"/>
  <c r="EE47" i="112" s="1"/>
  <c r="EE48" i="112" s="1"/>
  <c r="EE49" i="112" s="1"/>
  <c r="EE50" i="112" s="1"/>
  <c r="EE51" i="112" s="1"/>
  <c r="EE52" i="112" s="1"/>
  <c r="EE53" i="112" s="1"/>
  <c r="EE54" i="112" s="1"/>
  <c r="EE55" i="112" s="1"/>
  <c r="DO25" i="112"/>
  <c r="DO26" i="112" s="1"/>
  <c r="DO27" i="112" s="1"/>
  <c r="DO28" i="112" s="1"/>
  <c r="DO29" i="112" s="1"/>
  <c r="DO30" i="112" s="1"/>
  <c r="DO31" i="112" s="1"/>
  <c r="DO32" i="112" s="1"/>
  <c r="DO33" i="112" s="1"/>
  <c r="DO34" i="112" s="1"/>
  <c r="DO35" i="112" s="1"/>
  <c r="DO36" i="112" s="1"/>
  <c r="DO37" i="112" s="1"/>
  <c r="DO38" i="112" s="1"/>
  <c r="DO39" i="112" s="1"/>
  <c r="DO40" i="112" s="1"/>
  <c r="DO41" i="112" s="1"/>
  <c r="DO42" i="112" s="1"/>
  <c r="DO43" i="112" s="1"/>
  <c r="DO44" i="112" s="1"/>
  <c r="DO45" i="112" s="1"/>
  <c r="DO46" i="112" s="1"/>
  <c r="DO47" i="112" s="1"/>
  <c r="DO48" i="112" s="1"/>
  <c r="DO49" i="112" s="1"/>
  <c r="DO50" i="112" s="1"/>
  <c r="DO51" i="112" s="1"/>
  <c r="DO52" i="112" s="1"/>
  <c r="DO53" i="112" s="1"/>
  <c r="DO54" i="112" s="1"/>
  <c r="DO55" i="112" s="1"/>
  <c r="N25" i="112"/>
  <c r="R25" i="112" s="1"/>
  <c r="V25" i="112" s="1"/>
  <c r="Z25" i="112" s="1"/>
  <c r="AD25" i="112" s="1"/>
  <c r="L25" i="112"/>
  <c r="P25" i="112" s="1"/>
  <c r="T25" i="112" s="1"/>
  <c r="X25" i="112" s="1"/>
  <c r="AB25" i="112" s="1"/>
  <c r="CR25" i="112" s="1"/>
  <c r="CV25" i="112" s="1"/>
  <c r="DB25" i="112" s="1"/>
  <c r="EI24" i="112"/>
  <c r="EI25" i="112" s="1"/>
  <c r="EI26" i="112" s="1"/>
  <c r="EI27" i="112" s="1"/>
  <c r="EI28" i="112" s="1"/>
  <c r="EI29" i="112" s="1"/>
  <c r="EI30" i="112" s="1"/>
  <c r="EI31" i="112" s="1"/>
  <c r="EI32" i="112" s="1"/>
  <c r="EI33" i="112" s="1"/>
  <c r="EI34" i="112" s="1"/>
  <c r="EI35" i="112" s="1"/>
  <c r="EI36" i="112" s="1"/>
  <c r="EI37" i="112" s="1"/>
  <c r="EI38" i="112" s="1"/>
  <c r="EI39" i="112" s="1"/>
  <c r="EI40" i="112" s="1"/>
  <c r="EI41" i="112" s="1"/>
  <c r="EI42" i="112" s="1"/>
  <c r="EI43" i="112" s="1"/>
  <c r="EI44" i="112" s="1"/>
  <c r="EI45" i="112" s="1"/>
  <c r="EI46" i="112" s="1"/>
  <c r="EI47" i="112" s="1"/>
  <c r="EI48" i="112" s="1"/>
  <c r="EI49" i="112" s="1"/>
  <c r="EI50" i="112" s="1"/>
  <c r="EI51" i="112" s="1"/>
  <c r="EI52" i="112" s="1"/>
  <c r="EI53" i="112" s="1"/>
  <c r="EI54" i="112" s="1"/>
  <c r="EI55" i="112" s="1"/>
  <c r="DU24" i="112"/>
  <c r="DU25" i="112" s="1"/>
  <c r="DU26" i="112" s="1"/>
  <c r="DU27" i="112" s="1"/>
  <c r="DU28" i="112" s="1"/>
  <c r="DU29" i="112" s="1"/>
  <c r="DU30" i="112" s="1"/>
  <c r="DU31" i="112" s="1"/>
  <c r="DU32" i="112" s="1"/>
  <c r="DU33" i="112" s="1"/>
  <c r="DU34" i="112" s="1"/>
  <c r="DU35" i="112" s="1"/>
  <c r="DU36" i="112" s="1"/>
  <c r="DU37" i="112" s="1"/>
  <c r="DU38" i="112" s="1"/>
  <c r="DU39" i="112" s="1"/>
  <c r="DU40" i="112" s="1"/>
  <c r="DU41" i="112" s="1"/>
  <c r="DU42" i="112" s="1"/>
  <c r="DU43" i="112" s="1"/>
  <c r="DU44" i="112" s="1"/>
  <c r="DU45" i="112" s="1"/>
  <c r="DU46" i="112" s="1"/>
  <c r="DU47" i="112" s="1"/>
  <c r="DU48" i="112" s="1"/>
  <c r="DU49" i="112" s="1"/>
  <c r="DU50" i="112" s="1"/>
  <c r="DU51" i="112" s="1"/>
  <c r="DU52" i="112" s="1"/>
  <c r="DU53" i="112" s="1"/>
  <c r="DU54" i="112" s="1"/>
  <c r="DU55" i="112" s="1"/>
  <c r="DQ24" i="112"/>
  <c r="DQ25" i="112" s="1"/>
  <c r="DQ26" i="112" s="1"/>
  <c r="DQ27" i="112" s="1"/>
  <c r="DQ28" i="112" s="1"/>
  <c r="DQ29" i="112" s="1"/>
  <c r="DQ30" i="112" s="1"/>
  <c r="DQ31" i="112" s="1"/>
  <c r="DQ32" i="112" s="1"/>
  <c r="DQ33" i="112" s="1"/>
  <c r="DQ34" i="112" s="1"/>
  <c r="DQ35" i="112" s="1"/>
  <c r="DQ36" i="112" s="1"/>
  <c r="DQ37" i="112" s="1"/>
  <c r="DQ38" i="112" s="1"/>
  <c r="DQ39" i="112" s="1"/>
  <c r="DQ40" i="112" s="1"/>
  <c r="DQ41" i="112" s="1"/>
  <c r="DQ42" i="112" s="1"/>
  <c r="DQ43" i="112" s="1"/>
  <c r="DQ44" i="112" s="1"/>
  <c r="DQ45" i="112" s="1"/>
  <c r="DQ46" i="112" s="1"/>
  <c r="DQ47" i="112" s="1"/>
  <c r="DQ48" i="112" s="1"/>
  <c r="DQ49" i="112" s="1"/>
  <c r="DQ50" i="112" s="1"/>
  <c r="DQ51" i="112" s="1"/>
  <c r="DQ52" i="112" s="1"/>
  <c r="DQ53" i="112" s="1"/>
  <c r="DQ54" i="112" s="1"/>
  <c r="DQ55" i="112" s="1"/>
  <c r="DP24" i="112"/>
  <c r="DR24" i="112" s="1"/>
  <c r="DO24" i="112"/>
  <c r="DR23" i="112"/>
  <c r="N23" i="112"/>
  <c r="R23" i="112" s="1"/>
  <c r="V23" i="112" s="1"/>
  <c r="Z23" i="112" s="1"/>
  <c r="AD23" i="112" s="1"/>
  <c r="CT23" i="112" s="1"/>
  <c r="CX23" i="112" s="1"/>
  <c r="L23" i="112"/>
  <c r="P23" i="112" s="1"/>
  <c r="T23" i="112" s="1"/>
  <c r="X23" i="112" s="1"/>
  <c r="AB23" i="112" s="1"/>
  <c r="P21" i="112"/>
  <c r="T21" i="112" s="1"/>
  <c r="X21" i="112" s="1"/>
  <c r="AB21" i="112" s="1"/>
  <c r="N21" i="112"/>
  <c r="R21" i="112" s="1"/>
  <c r="V21" i="112" s="1"/>
  <c r="Z21" i="112" s="1"/>
  <c r="AD21" i="112" s="1"/>
  <c r="CT21" i="112" s="1"/>
  <c r="CX21" i="112" s="1"/>
  <c r="L21" i="112"/>
  <c r="R17" i="112"/>
  <c r="V17" i="112" s="1"/>
  <c r="Z17" i="112" s="1"/>
  <c r="AD17" i="112" s="1"/>
  <c r="N17" i="112"/>
  <c r="L17" i="112"/>
  <c r="P17" i="112" s="1"/>
  <c r="T17" i="112" s="1"/>
  <c r="X17" i="112" s="1"/>
  <c r="AB17" i="112" s="1"/>
  <c r="D17" i="112"/>
  <c r="D23" i="112" s="1"/>
  <c r="N14" i="112"/>
  <c r="R14" i="112" s="1"/>
  <c r="V14" i="112" s="1"/>
  <c r="Z14" i="112" s="1"/>
  <c r="AD14" i="112" s="1"/>
  <c r="L14" i="112"/>
  <c r="P14" i="112" s="1"/>
  <c r="T14" i="112" s="1"/>
  <c r="X14" i="112" s="1"/>
  <c r="AB14" i="112" s="1"/>
  <c r="V12" i="112"/>
  <c r="Z12" i="112" s="1"/>
  <c r="AD12" i="112" s="1"/>
  <c r="N12" i="112"/>
  <c r="R12" i="112" s="1"/>
  <c r="L12" i="112"/>
  <c r="P12" i="112" s="1"/>
  <c r="T12" i="112" s="1"/>
  <c r="X12" i="112" s="1"/>
  <c r="AB12" i="112" s="1"/>
  <c r="R10" i="112"/>
  <c r="V10" i="112" s="1"/>
  <c r="Z10" i="112" s="1"/>
  <c r="AD10" i="112" s="1"/>
  <c r="N10" i="112"/>
  <c r="L10" i="112"/>
  <c r="P10" i="112" s="1"/>
  <c r="T10" i="112" s="1"/>
  <c r="X10" i="112" s="1"/>
  <c r="AB10" i="112" s="1"/>
  <c r="E10" i="112"/>
  <c r="E12" i="112" s="1"/>
  <c r="E13" i="112" s="1"/>
  <c r="P5" i="112"/>
  <c r="T5" i="112" s="1"/>
  <c r="X5" i="112" s="1"/>
  <c r="AB5" i="112" s="1"/>
  <c r="N5" i="112"/>
  <c r="R5" i="112" s="1"/>
  <c r="V5" i="112" s="1"/>
  <c r="Z5" i="112" s="1"/>
  <c r="AD5" i="112" s="1"/>
  <c r="L5" i="112"/>
  <c r="AG88" i="117" l="1"/>
  <c r="AE89" i="117"/>
  <c r="AN85" i="117"/>
  <c r="Y72" i="117"/>
  <c r="AA72" i="117" s="1"/>
  <c r="BT36" i="117"/>
  <c r="BR37" i="117"/>
  <c r="BF37" i="117"/>
  <c r="BD38" i="117" s="1"/>
  <c r="AO83" i="117"/>
  <c r="AN83" i="117" s="1"/>
  <c r="AN84" i="117" s="1"/>
  <c r="BU25" i="117"/>
  <c r="BU26" i="117" s="1"/>
  <c r="BU27" i="117" s="1"/>
  <c r="BU28" i="117" s="1"/>
  <c r="BU29" i="117" s="1"/>
  <c r="BU30" i="117" s="1"/>
  <c r="BU31" i="117" s="1"/>
  <c r="BU32" i="117" s="1"/>
  <c r="BU33" i="117" s="1"/>
  <c r="BU34" i="117" s="1"/>
  <c r="BU35" i="117" s="1"/>
  <c r="BU36" i="117" s="1"/>
  <c r="BU37" i="117" s="1"/>
  <c r="BU38" i="117" s="1"/>
  <c r="BU39" i="117" s="1"/>
  <c r="BU40" i="117" s="1"/>
  <c r="BU41" i="117" s="1"/>
  <c r="BU42" i="117" s="1"/>
  <c r="BU43" i="117" s="1"/>
  <c r="BU44" i="117" s="1"/>
  <c r="BU45" i="117" s="1"/>
  <c r="BU46" i="117" s="1"/>
  <c r="BU47" i="117" s="1"/>
  <c r="BU48" i="117" s="1"/>
  <c r="BU49" i="117" s="1"/>
  <c r="BU50" i="117" s="1"/>
  <c r="BU51" i="117" s="1"/>
  <c r="BU52" i="117" s="1"/>
  <c r="BU53" i="117" s="1"/>
  <c r="BU54" i="117" s="1"/>
  <c r="BU55" i="117" s="1"/>
  <c r="J152" i="116"/>
  <c r="O150" i="116"/>
  <c r="S150" i="116" s="1"/>
  <c r="V150" i="116" s="1"/>
  <c r="AD150" i="116" s="1"/>
  <c r="D100" i="116"/>
  <c r="H97" i="116"/>
  <c r="J97" i="116" s="1"/>
  <c r="J98" i="116" s="1"/>
  <c r="H24" i="116"/>
  <c r="D25" i="116"/>
  <c r="AC135" i="116"/>
  <c r="S137" i="116"/>
  <c r="V137" i="116" s="1"/>
  <c r="AC137" i="116" s="1"/>
  <c r="V136" i="116"/>
  <c r="AC136" i="116" s="1"/>
  <c r="AF25" i="112"/>
  <c r="AJ25" i="112" s="1"/>
  <c r="AN25" i="112" s="1"/>
  <c r="AR25" i="112" s="1"/>
  <c r="U29" i="115"/>
  <c r="U30" i="115" s="1"/>
  <c r="AB11" i="115"/>
  <c r="AB17" i="115" s="1"/>
  <c r="V23" i="115"/>
  <c r="V24" i="115"/>
  <c r="V26" i="115" s="1"/>
  <c r="V27" i="115" s="1"/>
  <c r="X18" i="115"/>
  <c r="W22" i="115"/>
  <c r="AC10" i="115"/>
  <c r="AD9" i="115"/>
  <c r="AD10" i="115" s="1"/>
  <c r="BF24" i="113"/>
  <c r="BD25" i="113" s="1"/>
  <c r="AG75" i="113"/>
  <c r="AE76" i="113" s="1"/>
  <c r="C39" i="113"/>
  <c r="CT10" i="112"/>
  <c r="CX10" i="112" s="1"/>
  <c r="AH10" i="112"/>
  <c r="AL10" i="112" s="1"/>
  <c r="AP10" i="112" s="1"/>
  <c r="AT10" i="112" s="1"/>
  <c r="AF27" i="112"/>
  <c r="AJ27" i="112" s="1"/>
  <c r="AN27" i="112" s="1"/>
  <c r="AR27" i="112" s="1"/>
  <c r="CR27" i="112"/>
  <c r="CV27" i="112" s="1"/>
  <c r="DB27" i="112" s="1"/>
  <c r="CT12" i="112"/>
  <c r="CX12" i="112" s="1"/>
  <c r="AH12" i="112"/>
  <c r="AL12" i="112" s="1"/>
  <c r="AP12" i="112" s="1"/>
  <c r="AT12" i="112" s="1"/>
  <c r="CT25" i="112"/>
  <c r="CX25" i="112" s="1"/>
  <c r="AH25" i="112"/>
  <c r="AL25" i="112" s="1"/>
  <c r="AP25" i="112" s="1"/>
  <c r="AT25" i="112" s="1"/>
  <c r="CT5" i="112"/>
  <c r="CX5" i="112" s="1"/>
  <c r="AH5" i="112"/>
  <c r="AL5" i="112" s="1"/>
  <c r="AP5" i="112" s="1"/>
  <c r="AT5" i="112" s="1"/>
  <c r="CR21" i="112"/>
  <c r="CV21" i="112" s="1"/>
  <c r="DB21" i="112" s="1"/>
  <c r="AF21" i="112"/>
  <c r="AJ21" i="112" s="1"/>
  <c r="AN21" i="112" s="1"/>
  <c r="AR21" i="112" s="1"/>
  <c r="CR14" i="112"/>
  <c r="CV14" i="112" s="1"/>
  <c r="DB14" i="112" s="1"/>
  <c r="AF14" i="112"/>
  <c r="AJ14" i="112" s="1"/>
  <c r="AN14" i="112" s="1"/>
  <c r="AR14" i="112" s="1"/>
  <c r="AV25" i="112"/>
  <c r="AZ25" i="112" s="1"/>
  <c r="BD25" i="112"/>
  <c r="BH25" i="112" s="1"/>
  <c r="BL25" i="112" s="1"/>
  <c r="BP25" i="112" s="1"/>
  <c r="BT25" i="112" s="1"/>
  <c r="BX25" i="112" s="1"/>
  <c r="AF23" i="112"/>
  <c r="AJ23" i="112" s="1"/>
  <c r="AN23" i="112" s="1"/>
  <c r="AR23" i="112" s="1"/>
  <c r="CR23" i="112"/>
  <c r="CV23" i="112" s="1"/>
  <c r="DB23" i="112" s="1"/>
  <c r="CT14" i="112"/>
  <c r="CX14" i="112" s="1"/>
  <c r="AH14" i="112"/>
  <c r="AL14" i="112" s="1"/>
  <c r="AP14" i="112" s="1"/>
  <c r="AT14" i="112" s="1"/>
  <c r="AH21" i="112"/>
  <c r="AL21" i="112" s="1"/>
  <c r="AP21" i="112" s="1"/>
  <c r="AT21" i="112" s="1"/>
  <c r="AH23" i="112"/>
  <c r="AL23" i="112" s="1"/>
  <c r="AP23" i="112" s="1"/>
  <c r="AT23" i="112" s="1"/>
  <c r="CR12" i="112"/>
  <c r="CV12" i="112" s="1"/>
  <c r="DB12" i="112" s="1"/>
  <c r="AF12" i="112"/>
  <c r="AJ12" i="112" s="1"/>
  <c r="AN12" i="112" s="1"/>
  <c r="AR12" i="112" s="1"/>
  <c r="CR5" i="112"/>
  <c r="CV5" i="112" s="1"/>
  <c r="DB5" i="112" s="1"/>
  <c r="AF5" i="112"/>
  <c r="AJ5" i="112" s="1"/>
  <c r="AN5" i="112" s="1"/>
  <c r="AR5" i="112" s="1"/>
  <c r="CR17" i="112"/>
  <c r="CV17" i="112" s="1"/>
  <c r="DB17" i="112" s="1"/>
  <c r="AF17" i="112"/>
  <c r="AJ17" i="112" s="1"/>
  <c r="AN17" i="112" s="1"/>
  <c r="AR17" i="112" s="1"/>
  <c r="AH27" i="112"/>
  <c r="AL27" i="112" s="1"/>
  <c r="AP27" i="112" s="1"/>
  <c r="AT27" i="112" s="1"/>
  <c r="CT27" i="112"/>
  <c r="CX27" i="112" s="1"/>
  <c r="CR10" i="112"/>
  <c r="CV10" i="112" s="1"/>
  <c r="DB10" i="112" s="1"/>
  <c r="AF10" i="112"/>
  <c r="AJ10" i="112" s="1"/>
  <c r="AN10" i="112" s="1"/>
  <c r="AR10" i="112" s="1"/>
  <c r="AH17" i="112"/>
  <c r="AL17" i="112" s="1"/>
  <c r="AP17" i="112" s="1"/>
  <c r="AT17" i="112" s="1"/>
  <c r="CT17" i="112"/>
  <c r="CX17" i="112" s="1"/>
  <c r="DP25" i="112"/>
  <c r="AG74" i="112"/>
  <c r="AE75" i="112" s="1"/>
  <c r="C38" i="112"/>
  <c r="K12" i="111"/>
  <c r="K14" i="111"/>
  <c r="K9" i="111"/>
  <c r="H12" i="111"/>
  <c r="AO84" i="117" l="1"/>
  <c r="BF38" i="117"/>
  <c r="BD39" i="117" s="1"/>
  <c r="AN87" i="117"/>
  <c r="AA78" i="117"/>
  <c r="AA76" i="117"/>
  <c r="BT37" i="117"/>
  <c r="BR38" i="117"/>
  <c r="AG89" i="117"/>
  <c r="AE90" i="117" s="1"/>
  <c r="H98" i="116"/>
  <c r="H100" i="116"/>
  <c r="D101" i="116"/>
  <c r="H21" i="116"/>
  <c r="H25" i="116"/>
  <c r="H26" i="116" s="1"/>
  <c r="O152" i="116"/>
  <c r="S152" i="116" s="1"/>
  <c r="V152" i="116" s="1"/>
  <c r="AC152" i="116" s="1"/>
  <c r="J154" i="116"/>
  <c r="U31" i="115"/>
  <c r="U32" i="115" s="1"/>
  <c r="V29" i="115"/>
  <c r="V30" i="115" s="1"/>
  <c r="AD11" i="115"/>
  <c r="AD17" i="115" s="1"/>
  <c r="AC11" i="115"/>
  <c r="AC17" i="115" s="1"/>
  <c r="W23" i="115"/>
  <c r="W24" i="115"/>
  <c r="Y18" i="115"/>
  <c r="X22" i="115"/>
  <c r="BF25" i="113"/>
  <c r="BD26" i="113" s="1"/>
  <c r="AG76" i="113"/>
  <c r="AE77" i="113" s="1"/>
  <c r="C40" i="113"/>
  <c r="AX23" i="112"/>
  <c r="BB23" i="112" s="1"/>
  <c r="BF23" i="112"/>
  <c r="BJ23" i="112" s="1"/>
  <c r="BN23" i="112" s="1"/>
  <c r="BR23" i="112" s="1"/>
  <c r="BV23" i="112" s="1"/>
  <c r="BZ23" i="112" s="1"/>
  <c r="C39" i="112"/>
  <c r="BD5" i="112"/>
  <c r="BH5" i="112" s="1"/>
  <c r="BL5" i="112" s="1"/>
  <c r="BP5" i="112" s="1"/>
  <c r="BT5" i="112" s="1"/>
  <c r="BX5" i="112" s="1"/>
  <c r="AV5" i="112"/>
  <c r="AZ5" i="112" s="1"/>
  <c r="BF14" i="112"/>
  <c r="BJ14" i="112" s="1"/>
  <c r="BN14" i="112" s="1"/>
  <c r="BR14" i="112" s="1"/>
  <c r="BV14" i="112" s="1"/>
  <c r="BZ14" i="112" s="1"/>
  <c r="AX14" i="112"/>
  <c r="BB14" i="112" s="1"/>
  <c r="BD14" i="112"/>
  <c r="BH14" i="112" s="1"/>
  <c r="BL14" i="112" s="1"/>
  <c r="BP14" i="112" s="1"/>
  <c r="BT14" i="112" s="1"/>
  <c r="BX14" i="112" s="1"/>
  <c r="AV14" i="112"/>
  <c r="AZ14" i="112" s="1"/>
  <c r="BF12" i="112"/>
  <c r="BJ12" i="112" s="1"/>
  <c r="BN12" i="112" s="1"/>
  <c r="BR12" i="112" s="1"/>
  <c r="BV12" i="112" s="1"/>
  <c r="BZ12" i="112" s="1"/>
  <c r="AX12" i="112"/>
  <c r="BB12" i="112" s="1"/>
  <c r="BF25" i="112"/>
  <c r="BJ25" i="112" s="1"/>
  <c r="BN25" i="112" s="1"/>
  <c r="BR25" i="112" s="1"/>
  <c r="BV25" i="112" s="1"/>
  <c r="BZ25" i="112" s="1"/>
  <c r="AX25" i="112"/>
  <c r="BB25" i="112" s="1"/>
  <c r="AX17" i="112"/>
  <c r="BB17" i="112" s="1"/>
  <c r="BF17" i="112"/>
  <c r="BJ17" i="112" s="1"/>
  <c r="BN17" i="112" s="1"/>
  <c r="BR17" i="112" s="1"/>
  <c r="BV17" i="112" s="1"/>
  <c r="BZ17" i="112" s="1"/>
  <c r="BD12" i="112"/>
  <c r="BH12" i="112" s="1"/>
  <c r="BL12" i="112" s="1"/>
  <c r="BP12" i="112" s="1"/>
  <c r="BT12" i="112" s="1"/>
  <c r="BX12" i="112" s="1"/>
  <c r="AV12" i="112"/>
  <c r="AZ12" i="112" s="1"/>
  <c r="DR25" i="112"/>
  <c r="DP26" i="112" s="1"/>
  <c r="AV27" i="112"/>
  <c r="AZ27" i="112" s="1"/>
  <c r="BD27" i="112"/>
  <c r="BH27" i="112" s="1"/>
  <c r="BL27" i="112" s="1"/>
  <c r="BP27" i="112" s="1"/>
  <c r="BT27" i="112" s="1"/>
  <c r="BX27" i="112" s="1"/>
  <c r="BD17" i="112"/>
  <c r="BH17" i="112" s="1"/>
  <c r="BL17" i="112" s="1"/>
  <c r="BP17" i="112" s="1"/>
  <c r="BT17" i="112" s="1"/>
  <c r="BX17" i="112" s="1"/>
  <c r="AV17" i="112"/>
  <c r="AZ17" i="112" s="1"/>
  <c r="BF5" i="112"/>
  <c r="BJ5" i="112" s="1"/>
  <c r="BN5" i="112" s="1"/>
  <c r="BR5" i="112" s="1"/>
  <c r="BV5" i="112" s="1"/>
  <c r="BZ5" i="112" s="1"/>
  <c r="AX5" i="112"/>
  <c r="BB5" i="112" s="1"/>
  <c r="AX10" i="112"/>
  <c r="BB10" i="112" s="1"/>
  <c r="BF10" i="112"/>
  <c r="BJ10" i="112" s="1"/>
  <c r="BN10" i="112" s="1"/>
  <c r="BR10" i="112" s="1"/>
  <c r="BV10" i="112" s="1"/>
  <c r="BZ10" i="112" s="1"/>
  <c r="CJ25" i="112"/>
  <c r="CN25" i="112" s="1"/>
  <c r="CB25" i="112"/>
  <c r="CF25" i="112" s="1"/>
  <c r="BF21" i="112"/>
  <c r="BJ21" i="112" s="1"/>
  <c r="BN21" i="112" s="1"/>
  <c r="BR21" i="112" s="1"/>
  <c r="BV21" i="112" s="1"/>
  <c r="BZ21" i="112" s="1"/>
  <c r="AX21" i="112"/>
  <c r="BB21" i="112" s="1"/>
  <c r="AG75" i="112"/>
  <c r="AE76" i="112" s="1"/>
  <c r="BD10" i="112"/>
  <c r="BH10" i="112" s="1"/>
  <c r="BL10" i="112" s="1"/>
  <c r="BP10" i="112" s="1"/>
  <c r="BT10" i="112" s="1"/>
  <c r="BX10" i="112" s="1"/>
  <c r="AV10" i="112"/>
  <c r="AZ10" i="112" s="1"/>
  <c r="AV21" i="112"/>
  <c r="AZ21" i="112" s="1"/>
  <c r="BD21" i="112"/>
  <c r="BH21" i="112" s="1"/>
  <c r="BL21" i="112" s="1"/>
  <c r="BP21" i="112" s="1"/>
  <c r="BT21" i="112" s="1"/>
  <c r="BX21" i="112" s="1"/>
  <c r="AX27" i="112"/>
  <c r="BB27" i="112" s="1"/>
  <c r="BF27" i="112"/>
  <c r="BJ27" i="112" s="1"/>
  <c r="BN27" i="112" s="1"/>
  <c r="BR27" i="112" s="1"/>
  <c r="BV27" i="112" s="1"/>
  <c r="BZ27" i="112" s="1"/>
  <c r="BD23" i="112"/>
  <c r="BH23" i="112" s="1"/>
  <c r="BL23" i="112" s="1"/>
  <c r="BP23" i="112" s="1"/>
  <c r="BT23" i="112" s="1"/>
  <c r="BX23" i="112" s="1"/>
  <c r="AV23" i="112"/>
  <c r="AZ23" i="112" s="1"/>
  <c r="AG90" i="117" l="1"/>
  <c r="AE91" i="117" s="1"/>
  <c r="BF39" i="117"/>
  <c r="BD40" i="117" s="1"/>
  <c r="BT38" i="117"/>
  <c r="BR39" i="117"/>
  <c r="D102" i="116"/>
  <c r="D103" i="116" s="1"/>
  <c r="H101" i="116"/>
  <c r="J101" i="116" s="1"/>
  <c r="J100" i="116"/>
  <c r="J156" i="116"/>
  <c r="O154" i="116"/>
  <c r="S154" i="116" s="1"/>
  <c r="V154" i="116" s="1"/>
  <c r="AE154" i="116" s="1"/>
  <c r="W26" i="115"/>
  <c r="W27" i="115" s="1"/>
  <c r="W29" i="115"/>
  <c r="W30" i="115" s="1"/>
  <c r="X23" i="115"/>
  <c r="X24" i="115"/>
  <c r="Y22" i="115"/>
  <c r="Z18" i="115"/>
  <c r="V31" i="115"/>
  <c r="AG77" i="113"/>
  <c r="AE78" i="113" s="1"/>
  <c r="BF26" i="113"/>
  <c r="BD27" i="113"/>
  <c r="C41" i="113"/>
  <c r="AG76" i="112"/>
  <c r="AE77" i="112" s="1"/>
  <c r="DR26" i="112"/>
  <c r="DP27" i="112" s="1"/>
  <c r="CB27" i="112"/>
  <c r="CF27" i="112" s="1"/>
  <c r="CJ27" i="112"/>
  <c r="CN27" i="112" s="1"/>
  <c r="CJ14" i="112"/>
  <c r="CN14" i="112" s="1"/>
  <c r="CB14" i="112"/>
  <c r="CF14" i="112" s="1"/>
  <c r="CD27" i="112"/>
  <c r="CH27" i="112" s="1"/>
  <c r="CL27" i="112"/>
  <c r="CP27" i="112" s="1"/>
  <c r="CJ21" i="112"/>
  <c r="CN21" i="112" s="1"/>
  <c r="CB21" i="112"/>
  <c r="CF21" i="112" s="1"/>
  <c r="CL10" i="112"/>
  <c r="CP10" i="112" s="1"/>
  <c r="CD10" i="112"/>
  <c r="CH10" i="112" s="1"/>
  <c r="CL25" i="112"/>
  <c r="CP25" i="112" s="1"/>
  <c r="CD25" i="112"/>
  <c r="CH25" i="112" s="1"/>
  <c r="CL14" i="112"/>
  <c r="CP14" i="112" s="1"/>
  <c r="CD14" i="112"/>
  <c r="CH14" i="112" s="1"/>
  <c r="C40" i="112"/>
  <c r="CJ5" i="112"/>
  <c r="CN5" i="112" s="1"/>
  <c r="CB5" i="112"/>
  <c r="CF5" i="112" s="1"/>
  <c r="CD17" i="112"/>
  <c r="CH17" i="112" s="1"/>
  <c r="CL17" i="112"/>
  <c r="CP17" i="112" s="1"/>
  <c r="CD23" i="112"/>
  <c r="CH23" i="112" s="1"/>
  <c r="CL23" i="112"/>
  <c r="CP23" i="112" s="1"/>
  <c r="CJ10" i="112"/>
  <c r="CN10" i="112" s="1"/>
  <c r="CB10" i="112"/>
  <c r="CF10" i="112" s="1"/>
  <c r="CL5" i="112"/>
  <c r="CP5" i="112" s="1"/>
  <c r="CD5" i="112"/>
  <c r="CH5" i="112" s="1"/>
  <c r="CB23" i="112"/>
  <c r="CF23" i="112" s="1"/>
  <c r="CJ23" i="112"/>
  <c r="CN23" i="112" s="1"/>
  <c r="CD21" i="112"/>
  <c r="CH21" i="112" s="1"/>
  <c r="CL21" i="112"/>
  <c r="CP21" i="112" s="1"/>
  <c r="CJ17" i="112"/>
  <c r="CN17" i="112" s="1"/>
  <c r="CB17" i="112"/>
  <c r="CF17" i="112" s="1"/>
  <c r="CJ12" i="112"/>
  <c r="CN12" i="112" s="1"/>
  <c r="CB12" i="112"/>
  <c r="CF12" i="112" s="1"/>
  <c r="CD12" i="112"/>
  <c r="CH12" i="112" s="1"/>
  <c r="CL12" i="112"/>
  <c r="CP12" i="112" s="1"/>
  <c r="D6" i="110"/>
  <c r="D7" i="110" s="1"/>
  <c r="D8" i="110" s="1"/>
  <c r="D9" i="110" s="1"/>
  <c r="D10" i="110" s="1"/>
  <c r="D11" i="110" s="1"/>
  <c r="D12" i="110" s="1"/>
  <c r="D13" i="110" s="1"/>
  <c r="D14" i="110" s="1"/>
  <c r="D15" i="110" s="1"/>
  <c r="D16" i="110" s="1"/>
  <c r="D17" i="110" s="1"/>
  <c r="D18" i="110" s="1"/>
  <c r="D19" i="110" s="1"/>
  <c r="D20" i="110" s="1"/>
  <c r="D6" i="109"/>
  <c r="D7" i="109" s="1"/>
  <c r="D8" i="109" s="1"/>
  <c r="D9" i="109" s="1"/>
  <c r="D10" i="109" s="1"/>
  <c r="D11" i="109" s="1"/>
  <c r="D12" i="109" s="1"/>
  <c r="D13" i="109" s="1"/>
  <c r="D14" i="109" s="1"/>
  <c r="D15" i="109" s="1"/>
  <c r="D16" i="109" s="1"/>
  <c r="D17" i="109" s="1"/>
  <c r="D18" i="109" s="1"/>
  <c r="D19" i="109" s="1"/>
  <c r="D20" i="109" s="1"/>
  <c r="D7" i="108"/>
  <c r="D8" i="108" s="1"/>
  <c r="D9" i="108" s="1"/>
  <c r="D10" i="108" s="1"/>
  <c r="D11" i="108" s="1"/>
  <c r="D12" i="108" s="1"/>
  <c r="D13" i="108" s="1"/>
  <c r="D14" i="108" s="1"/>
  <c r="D15" i="108" s="1"/>
  <c r="D16" i="108" s="1"/>
  <c r="D17" i="108" s="1"/>
  <c r="D18" i="108" s="1"/>
  <c r="D19" i="108" s="1"/>
  <c r="D20" i="108" s="1"/>
  <c r="D21" i="108" s="1"/>
  <c r="BF40" i="117" l="1"/>
  <c r="BD41" i="117" s="1"/>
  <c r="AG91" i="117"/>
  <c r="AE92" i="117" s="1"/>
  <c r="BT39" i="117"/>
  <c r="BR40" i="117"/>
  <c r="J158" i="116"/>
  <c r="O156" i="116"/>
  <c r="S156" i="116" s="1"/>
  <c r="D104" i="116"/>
  <c r="H104" i="116" s="1"/>
  <c r="J104" i="116" s="1"/>
  <c r="H103" i="116"/>
  <c r="Y24" i="115"/>
  <c r="Y23" i="115"/>
  <c r="Y26" i="115" s="1"/>
  <c r="Y27" i="115" s="1"/>
  <c r="X26" i="115"/>
  <c r="X27" i="115" s="1"/>
  <c r="BE5" i="115"/>
  <c r="V33" i="115"/>
  <c r="V32" i="115"/>
  <c r="Z22" i="115"/>
  <c r="AA18" i="115"/>
  <c r="W31" i="115"/>
  <c r="W32" i="115" s="1"/>
  <c r="BF27" i="113"/>
  <c r="BD28" i="113" s="1"/>
  <c r="C42" i="113"/>
  <c r="AG78" i="113"/>
  <c r="AE79" i="113" s="1"/>
  <c r="AG77" i="112"/>
  <c r="AE78" i="112"/>
  <c r="C41" i="112"/>
  <c r="DR27" i="112"/>
  <c r="DP28" i="112" s="1"/>
  <c r="L5" i="102"/>
  <c r="N5" i="102"/>
  <c r="R5" i="102" s="1"/>
  <c r="V5" i="102" s="1"/>
  <c r="Z5" i="102" s="1"/>
  <c r="AD5" i="102" s="1"/>
  <c r="P5" i="102"/>
  <c r="T5" i="102" s="1"/>
  <c r="X5" i="102" s="1"/>
  <c r="AB5" i="102" s="1"/>
  <c r="AG92" i="117" l="1"/>
  <c r="AE93" i="117" s="1"/>
  <c r="BF41" i="117"/>
  <c r="BD42" i="117" s="1"/>
  <c r="BT40" i="117"/>
  <c r="BR41" i="117"/>
  <c r="J103" i="116"/>
  <c r="J105" i="116" s="1"/>
  <c r="J107" i="116" s="1"/>
  <c r="J108" i="116" s="1"/>
  <c r="H105" i="116"/>
  <c r="H107" i="116" s="1"/>
  <c r="V156" i="116"/>
  <c r="AD156" i="116" s="1"/>
  <c r="O158" i="116"/>
  <c r="S158" i="116" s="1"/>
  <c r="V158" i="116" s="1"/>
  <c r="AC158" i="116" s="1"/>
  <c r="J160" i="116"/>
  <c r="BC28" i="115"/>
  <c r="BF6" i="115"/>
  <c r="X29" i="115"/>
  <c r="X30" i="115" s="1"/>
  <c r="Y29" i="115"/>
  <c r="Y30" i="115" s="1"/>
  <c r="Y31" i="115"/>
  <c r="Y32" i="115" s="1"/>
  <c r="AL5" i="115"/>
  <c r="Z24" i="115"/>
  <c r="AT8" i="115" s="1"/>
  <c r="AT10" i="115" s="1"/>
  <c r="AT4" i="115"/>
  <c r="Z23" i="115"/>
  <c r="AA22" i="115"/>
  <c r="AB18" i="115"/>
  <c r="BF28" i="113"/>
  <c r="BD29" i="113" s="1"/>
  <c r="AG79" i="113"/>
  <c r="AE80" i="113" s="1"/>
  <c r="C43" i="113"/>
  <c r="DR28" i="112"/>
  <c r="DP29" i="112" s="1"/>
  <c r="C42" i="112"/>
  <c r="AE79" i="112"/>
  <c r="AG78" i="112"/>
  <c r="AH5" i="102"/>
  <c r="AL5" i="102" s="1"/>
  <c r="AP5" i="102" s="1"/>
  <c r="AT5" i="102" s="1"/>
  <c r="BN5" i="102"/>
  <c r="BR5" i="102" s="1"/>
  <c r="AF5" i="102"/>
  <c r="AJ5" i="102" s="1"/>
  <c r="AN5" i="102" s="1"/>
  <c r="AR5" i="102" s="1"/>
  <c r="BL5" i="102"/>
  <c r="BP5" i="102" s="1"/>
  <c r="BV5" i="102" s="1"/>
  <c r="AD75" i="107"/>
  <c r="AD76" i="107" s="1"/>
  <c r="AD77" i="107" s="1"/>
  <c r="AD78" i="107" s="1"/>
  <c r="AD79" i="107" s="1"/>
  <c r="AD80" i="107" s="1"/>
  <c r="AD81" i="107" s="1"/>
  <c r="AD82" i="107" s="1"/>
  <c r="AD83" i="107" s="1"/>
  <c r="AD84" i="107" s="1"/>
  <c r="AD85" i="107" s="1"/>
  <c r="AD86" i="107" s="1"/>
  <c r="AD87" i="107" s="1"/>
  <c r="AD88" i="107" s="1"/>
  <c r="AD89" i="107" s="1"/>
  <c r="AD90" i="107" s="1"/>
  <c r="AD91" i="107" s="1"/>
  <c r="AD92" i="107" s="1"/>
  <c r="AD93" i="107" s="1"/>
  <c r="AD94" i="107" s="1"/>
  <c r="AD95" i="107" s="1"/>
  <c r="AD96" i="107" s="1"/>
  <c r="AD97" i="107" s="1"/>
  <c r="AD98" i="107" s="1"/>
  <c r="AD99" i="107" s="1"/>
  <c r="AD100" i="107" s="1"/>
  <c r="AD101" i="107" s="1"/>
  <c r="AD102" i="107" s="1"/>
  <c r="AD103" i="107" s="1"/>
  <c r="AD104" i="107" s="1"/>
  <c r="AD105" i="107" s="1"/>
  <c r="AD106" i="107" s="1"/>
  <c r="AF74" i="107"/>
  <c r="O72" i="107"/>
  <c r="Q70" i="107" s="1"/>
  <c r="S71" i="107"/>
  <c r="DE67" i="107"/>
  <c r="DE69" i="107" s="1"/>
  <c r="DE70" i="107" s="1"/>
  <c r="DZ56" i="107"/>
  <c r="DY56" i="107"/>
  <c r="DF55" i="107"/>
  <c r="CX53" i="107"/>
  <c r="C38" i="107"/>
  <c r="C39" i="107" s="1"/>
  <c r="C37" i="107"/>
  <c r="DC35" i="107"/>
  <c r="DD32" i="107"/>
  <c r="N27" i="107"/>
  <c r="R27" i="107" s="1"/>
  <c r="V27" i="107" s="1"/>
  <c r="Z27" i="107" s="1"/>
  <c r="AD27" i="107" s="1"/>
  <c r="L27" i="107"/>
  <c r="P27" i="107" s="1"/>
  <c r="T27" i="107" s="1"/>
  <c r="X27" i="107" s="1"/>
  <c r="AB27" i="107" s="1"/>
  <c r="EE26" i="107"/>
  <c r="EE27" i="107" s="1"/>
  <c r="EE28" i="107" s="1"/>
  <c r="EE29" i="107" s="1"/>
  <c r="EE30" i="107" s="1"/>
  <c r="EE31" i="107" s="1"/>
  <c r="EE32" i="107" s="1"/>
  <c r="EE33" i="107" s="1"/>
  <c r="EE34" i="107" s="1"/>
  <c r="EE35" i="107" s="1"/>
  <c r="EE36" i="107" s="1"/>
  <c r="EE37" i="107" s="1"/>
  <c r="EE38" i="107" s="1"/>
  <c r="EE39" i="107" s="1"/>
  <c r="EE40" i="107" s="1"/>
  <c r="EE41" i="107" s="1"/>
  <c r="EE42" i="107" s="1"/>
  <c r="EE43" i="107" s="1"/>
  <c r="EE44" i="107" s="1"/>
  <c r="EE45" i="107" s="1"/>
  <c r="EE46" i="107" s="1"/>
  <c r="EE47" i="107" s="1"/>
  <c r="EE48" i="107" s="1"/>
  <c r="EE49" i="107" s="1"/>
  <c r="EE50" i="107" s="1"/>
  <c r="EE51" i="107" s="1"/>
  <c r="EE52" i="107" s="1"/>
  <c r="EE53" i="107" s="1"/>
  <c r="EE54" i="107" s="1"/>
  <c r="EE55" i="107" s="1"/>
  <c r="DU25" i="107"/>
  <c r="DU26" i="107" s="1"/>
  <c r="DU27" i="107" s="1"/>
  <c r="DU28" i="107" s="1"/>
  <c r="DU29" i="107" s="1"/>
  <c r="DU30" i="107" s="1"/>
  <c r="DU31" i="107" s="1"/>
  <c r="DU32" i="107" s="1"/>
  <c r="DU33" i="107" s="1"/>
  <c r="DU34" i="107" s="1"/>
  <c r="DU35" i="107" s="1"/>
  <c r="DU36" i="107" s="1"/>
  <c r="DU37" i="107" s="1"/>
  <c r="DU38" i="107" s="1"/>
  <c r="DU39" i="107" s="1"/>
  <c r="DU40" i="107" s="1"/>
  <c r="DU41" i="107" s="1"/>
  <c r="DU42" i="107" s="1"/>
  <c r="DU43" i="107" s="1"/>
  <c r="DU44" i="107" s="1"/>
  <c r="DU45" i="107" s="1"/>
  <c r="DU46" i="107" s="1"/>
  <c r="DU47" i="107" s="1"/>
  <c r="DU48" i="107" s="1"/>
  <c r="DU49" i="107" s="1"/>
  <c r="DU50" i="107" s="1"/>
  <c r="DU51" i="107" s="1"/>
  <c r="DU52" i="107" s="1"/>
  <c r="DU53" i="107" s="1"/>
  <c r="DU54" i="107" s="1"/>
  <c r="DU55" i="107" s="1"/>
  <c r="N25" i="107"/>
  <c r="R25" i="107" s="1"/>
  <c r="V25" i="107" s="1"/>
  <c r="Z25" i="107" s="1"/>
  <c r="AD25" i="107" s="1"/>
  <c r="AH25" i="107" s="1"/>
  <c r="AL25" i="107" s="1"/>
  <c r="AP25" i="107" s="1"/>
  <c r="AT25" i="107" s="1"/>
  <c r="AX25" i="107" s="1"/>
  <c r="BB25" i="107" s="1"/>
  <c r="L25" i="107"/>
  <c r="P25" i="107" s="1"/>
  <c r="T25" i="107" s="1"/>
  <c r="X25" i="107" s="1"/>
  <c r="AB25" i="107" s="1"/>
  <c r="EI24" i="107"/>
  <c r="EI25" i="107" s="1"/>
  <c r="EI26" i="107" s="1"/>
  <c r="EI27" i="107" s="1"/>
  <c r="EI28" i="107" s="1"/>
  <c r="EI29" i="107" s="1"/>
  <c r="EI30" i="107" s="1"/>
  <c r="EI31" i="107" s="1"/>
  <c r="EI32" i="107" s="1"/>
  <c r="EI33" i="107" s="1"/>
  <c r="EI34" i="107" s="1"/>
  <c r="EI35" i="107" s="1"/>
  <c r="EI36" i="107" s="1"/>
  <c r="EI37" i="107" s="1"/>
  <c r="EI38" i="107" s="1"/>
  <c r="EI39" i="107" s="1"/>
  <c r="EI40" i="107" s="1"/>
  <c r="EI41" i="107" s="1"/>
  <c r="EI42" i="107" s="1"/>
  <c r="EI43" i="107" s="1"/>
  <c r="EI44" i="107" s="1"/>
  <c r="EI45" i="107" s="1"/>
  <c r="EI46" i="107" s="1"/>
  <c r="EI47" i="107" s="1"/>
  <c r="EI48" i="107" s="1"/>
  <c r="EI49" i="107" s="1"/>
  <c r="EI50" i="107" s="1"/>
  <c r="EI51" i="107" s="1"/>
  <c r="EI52" i="107" s="1"/>
  <c r="EI53" i="107" s="1"/>
  <c r="EI54" i="107" s="1"/>
  <c r="EI55" i="107" s="1"/>
  <c r="DU24" i="107"/>
  <c r="DQ24" i="107"/>
  <c r="DQ25" i="107" s="1"/>
  <c r="DQ26" i="107" s="1"/>
  <c r="DQ27" i="107" s="1"/>
  <c r="DQ28" i="107" s="1"/>
  <c r="DQ29" i="107" s="1"/>
  <c r="DQ30" i="107" s="1"/>
  <c r="DQ31" i="107" s="1"/>
  <c r="DQ32" i="107" s="1"/>
  <c r="DQ33" i="107" s="1"/>
  <c r="DQ34" i="107" s="1"/>
  <c r="DQ35" i="107" s="1"/>
  <c r="DQ36" i="107" s="1"/>
  <c r="DQ37" i="107" s="1"/>
  <c r="DQ38" i="107" s="1"/>
  <c r="DQ39" i="107" s="1"/>
  <c r="DQ40" i="107" s="1"/>
  <c r="DQ41" i="107" s="1"/>
  <c r="DQ42" i="107" s="1"/>
  <c r="DQ43" i="107" s="1"/>
  <c r="DQ44" i="107" s="1"/>
  <c r="DQ45" i="107" s="1"/>
  <c r="DQ46" i="107" s="1"/>
  <c r="DQ47" i="107" s="1"/>
  <c r="DQ48" i="107" s="1"/>
  <c r="DQ49" i="107" s="1"/>
  <c r="DQ50" i="107" s="1"/>
  <c r="DQ51" i="107" s="1"/>
  <c r="DQ52" i="107" s="1"/>
  <c r="DQ53" i="107" s="1"/>
  <c r="DQ54" i="107" s="1"/>
  <c r="DQ55" i="107" s="1"/>
  <c r="DP24" i="107"/>
  <c r="DR24" i="107" s="1"/>
  <c r="DO24" i="107"/>
  <c r="DO25" i="107" s="1"/>
  <c r="DO26" i="107" s="1"/>
  <c r="DO27" i="107" s="1"/>
  <c r="DO28" i="107" s="1"/>
  <c r="DO29" i="107" s="1"/>
  <c r="DO30" i="107" s="1"/>
  <c r="DO31" i="107" s="1"/>
  <c r="DO32" i="107" s="1"/>
  <c r="DO33" i="107" s="1"/>
  <c r="DO34" i="107" s="1"/>
  <c r="DO35" i="107" s="1"/>
  <c r="DO36" i="107" s="1"/>
  <c r="DO37" i="107" s="1"/>
  <c r="DO38" i="107" s="1"/>
  <c r="DO39" i="107" s="1"/>
  <c r="DO40" i="107" s="1"/>
  <c r="DO41" i="107" s="1"/>
  <c r="DO42" i="107" s="1"/>
  <c r="DO43" i="107" s="1"/>
  <c r="DO44" i="107" s="1"/>
  <c r="DO45" i="107" s="1"/>
  <c r="DO46" i="107" s="1"/>
  <c r="DO47" i="107" s="1"/>
  <c r="DO48" i="107" s="1"/>
  <c r="DO49" i="107" s="1"/>
  <c r="DO50" i="107" s="1"/>
  <c r="DO51" i="107" s="1"/>
  <c r="DO52" i="107" s="1"/>
  <c r="DO53" i="107" s="1"/>
  <c r="DO54" i="107" s="1"/>
  <c r="DO55" i="107" s="1"/>
  <c r="DR23" i="107"/>
  <c r="N23" i="107"/>
  <c r="R23" i="107" s="1"/>
  <c r="V23" i="107" s="1"/>
  <c r="Z23" i="107" s="1"/>
  <c r="AD23" i="107" s="1"/>
  <c r="L23" i="107"/>
  <c r="P23" i="107" s="1"/>
  <c r="T23" i="107" s="1"/>
  <c r="X23" i="107" s="1"/>
  <c r="AB23" i="107" s="1"/>
  <c r="N21" i="107"/>
  <c r="R21" i="107" s="1"/>
  <c r="V21" i="107" s="1"/>
  <c r="Z21" i="107" s="1"/>
  <c r="AD21" i="107" s="1"/>
  <c r="L21" i="107"/>
  <c r="P21" i="107" s="1"/>
  <c r="T21" i="107" s="1"/>
  <c r="X21" i="107" s="1"/>
  <c r="AB21" i="107" s="1"/>
  <c r="N17" i="107"/>
  <c r="R17" i="107" s="1"/>
  <c r="V17" i="107" s="1"/>
  <c r="Z17" i="107" s="1"/>
  <c r="AD17" i="107" s="1"/>
  <c r="L17" i="107"/>
  <c r="P17" i="107" s="1"/>
  <c r="T17" i="107" s="1"/>
  <c r="X17" i="107" s="1"/>
  <c r="AB17" i="107" s="1"/>
  <c r="D17" i="107"/>
  <c r="D23" i="107" s="1"/>
  <c r="N14" i="107"/>
  <c r="R14" i="107" s="1"/>
  <c r="V14" i="107" s="1"/>
  <c r="Z14" i="107" s="1"/>
  <c r="AD14" i="107" s="1"/>
  <c r="L14" i="107"/>
  <c r="P14" i="107" s="1"/>
  <c r="T14" i="107" s="1"/>
  <c r="X14" i="107" s="1"/>
  <c r="AB14" i="107" s="1"/>
  <c r="N12" i="107"/>
  <c r="R12" i="107" s="1"/>
  <c r="V12" i="107" s="1"/>
  <c r="Z12" i="107" s="1"/>
  <c r="AD12" i="107" s="1"/>
  <c r="L12" i="107"/>
  <c r="P12" i="107" s="1"/>
  <c r="T12" i="107" s="1"/>
  <c r="X12" i="107" s="1"/>
  <c r="AB12" i="107" s="1"/>
  <c r="N10" i="107"/>
  <c r="R10" i="107" s="1"/>
  <c r="V10" i="107" s="1"/>
  <c r="Z10" i="107" s="1"/>
  <c r="AD10" i="107" s="1"/>
  <c r="L10" i="107"/>
  <c r="P10" i="107" s="1"/>
  <c r="T10" i="107" s="1"/>
  <c r="X10" i="107" s="1"/>
  <c r="AB10" i="107" s="1"/>
  <c r="E10" i="107"/>
  <c r="E12" i="107" s="1"/>
  <c r="E13" i="107" s="1"/>
  <c r="N5" i="107"/>
  <c r="R5" i="107" s="1"/>
  <c r="V5" i="107" s="1"/>
  <c r="Z5" i="107" s="1"/>
  <c r="AD5" i="107" s="1"/>
  <c r="L5" i="107"/>
  <c r="P5" i="107" s="1"/>
  <c r="T5" i="107" s="1"/>
  <c r="X5" i="107" s="1"/>
  <c r="AB5" i="107" s="1"/>
  <c r="AF75" i="106"/>
  <c r="AF76" i="106" s="1"/>
  <c r="AF77" i="106" s="1"/>
  <c r="AF78" i="106" s="1"/>
  <c r="AF79" i="106" s="1"/>
  <c r="AF80" i="106" s="1"/>
  <c r="AF81" i="106" s="1"/>
  <c r="AF82" i="106" s="1"/>
  <c r="AF83" i="106" s="1"/>
  <c r="AF84" i="106" s="1"/>
  <c r="AF85" i="106" s="1"/>
  <c r="AF86" i="106" s="1"/>
  <c r="AF87" i="106" s="1"/>
  <c r="AF88" i="106" s="1"/>
  <c r="AF89" i="106" s="1"/>
  <c r="AF90" i="106" s="1"/>
  <c r="AF91" i="106" s="1"/>
  <c r="AF92" i="106" s="1"/>
  <c r="AF93" i="106" s="1"/>
  <c r="AF94" i="106" s="1"/>
  <c r="AF95" i="106" s="1"/>
  <c r="AF96" i="106" s="1"/>
  <c r="AF97" i="106" s="1"/>
  <c r="AF98" i="106" s="1"/>
  <c r="AF99" i="106" s="1"/>
  <c r="AF100" i="106" s="1"/>
  <c r="AF101" i="106" s="1"/>
  <c r="AF102" i="106" s="1"/>
  <c r="AF103" i="106" s="1"/>
  <c r="AF104" i="106" s="1"/>
  <c r="AF105" i="106" s="1"/>
  <c r="AF106" i="106" s="1"/>
  <c r="AD75" i="106"/>
  <c r="AD76" i="106" s="1"/>
  <c r="AD77" i="106" s="1"/>
  <c r="AD78" i="106" s="1"/>
  <c r="AD79" i="106" s="1"/>
  <c r="AD80" i="106" s="1"/>
  <c r="AD81" i="106" s="1"/>
  <c r="AD82" i="106" s="1"/>
  <c r="AD83" i="106" s="1"/>
  <c r="AD84" i="106" s="1"/>
  <c r="AD85" i="106" s="1"/>
  <c r="AD86" i="106" s="1"/>
  <c r="AD87" i="106" s="1"/>
  <c r="AD88" i="106" s="1"/>
  <c r="AD89" i="106" s="1"/>
  <c r="AD90" i="106" s="1"/>
  <c r="AD91" i="106" s="1"/>
  <c r="AD92" i="106" s="1"/>
  <c r="AD93" i="106" s="1"/>
  <c r="AD94" i="106" s="1"/>
  <c r="AD95" i="106" s="1"/>
  <c r="AD96" i="106" s="1"/>
  <c r="AD97" i="106" s="1"/>
  <c r="AD98" i="106" s="1"/>
  <c r="AD99" i="106" s="1"/>
  <c r="AD100" i="106" s="1"/>
  <c r="AD101" i="106" s="1"/>
  <c r="AD102" i="106" s="1"/>
  <c r="AD103" i="106" s="1"/>
  <c r="AD104" i="106" s="1"/>
  <c r="AD105" i="106" s="1"/>
  <c r="AD106" i="106" s="1"/>
  <c r="AF74" i="106"/>
  <c r="AG74" i="106" s="1"/>
  <c r="AE75" i="106" s="1"/>
  <c r="O72" i="106"/>
  <c r="Q70" i="106" s="1"/>
  <c r="S71" i="106"/>
  <c r="DE67" i="106"/>
  <c r="DE69" i="106" s="1"/>
  <c r="DE70" i="106" s="1"/>
  <c r="DZ56" i="106"/>
  <c r="DY56" i="106"/>
  <c r="DF55" i="106"/>
  <c r="CX53" i="106"/>
  <c r="C38" i="106"/>
  <c r="C39" i="106" s="1"/>
  <c r="C37" i="106"/>
  <c r="DC35" i="106"/>
  <c r="DD32" i="106"/>
  <c r="T27" i="106"/>
  <c r="X27" i="106" s="1"/>
  <c r="AB27" i="106" s="1"/>
  <c r="R27" i="106"/>
  <c r="V27" i="106" s="1"/>
  <c r="Z27" i="106" s="1"/>
  <c r="AD27" i="106" s="1"/>
  <c r="N27" i="106"/>
  <c r="L27" i="106"/>
  <c r="P27" i="106" s="1"/>
  <c r="EE26" i="106"/>
  <c r="EE27" i="106" s="1"/>
  <c r="EE28" i="106" s="1"/>
  <c r="EE29" i="106" s="1"/>
  <c r="EE30" i="106" s="1"/>
  <c r="EE31" i="106" s="1"/>
  <c r="EE32" i="106" s="1"/>
  <c r="EE33" i="106" s="1"/>
  <c r="EE34" i="106" s="1"/>
  <c r="EE35" i="106" s="1"/>
  <c r="EE36" i="106" s="1"/>
  <c r="EE37" i="106" s="1"/>
  <c r="EE38" i="106" s="1"/>
  <c r="EE39" i="106" s="1"/>
  <c r="EE40" i="106" s="1"/>
  <c r="EE41" i="106" s="1"/>
  <c r="EE42" i="106" s="1"/>
  <c r="EE43" i="106" s="1"/>
  <c r="EE44" i="106" s="1"/>
  <c r="EE45" i="106" s="1"/>
  <c r="EE46" i="106" s="1"/>
  <c r="EE47" i="106" s="1"/>
  <c r="EE48" i="106" s="1"/>
  <c r="EE49" i="106" s="1"/>
  <c r="EE50" i="106" s="1"/>
  <c r="EE51" i="106" s="1"/>
  <c r="EE52" i="106" s="1"/>
  <c r="EE53" i="106" s="1"/>
  <c r="EE54" i="106" s="1"/>
  <c r="EE55" i="106" s="1"/>
  <c r="P25" i="106"/>
  <c r="T25" i="106" s="1"/>
  <c r="X25" i="106" s="1"/>
  <c r="AB25" i="106" s="1"/>
  <c r="CR25" i="106" s="1"/>
  <c r="CV25" i="106" s="1"/>
  <c r="DB25" i="106" s="1"/>
  <c r="N25" i="106"/>
  <c r="R25" i="106" s="1"/>
  <c r="V25" i="106" s="1"/>
  <c r="Z25" i="106" s="1"/>
  <c r="AD25" i="106" s="1"/>
  <c r="L25" i="106"/>
  <c r="EI24" i="106"/>
  <c r="EI25" i="106" s="1"/>
  <c r="EI26" i="106" s="1"/>
  <c r="EI27" i="106" s="1"/>
  <c r="EI28" i="106" s="1"/>
  <c r="EI29" i="106" s="1"/>
  <c r="EI30" i="106" s="1"/>
  <c r="EI31" i="106" s="1"/>
  <c r="EI32" i="106" s="1"/>
  <c r="EI33" i="106" s="1"/>
  <c r="EI34" i="106" s="1"/>
  <c r="EI35" i="106" s="1"/>
  <c r="EI36" i="106" s="1"/>
  <c r="EI37" i="106" s="1"/>
  <c r="EI38" i="106" s="1"/>
  <c r="EI39" i="106" s="1"/>
  <c r="EI40" i="106" s="1"/>
  <c r="EI41" i="106" s="1"/>
  <c r="EI42" i="106" s="1"/>
  <c r="EI43" i="106" s="1"/>
  <c r="EI44" i="106" s="1"/>
  <c r="EI45" i="106" s="1"/>
  <c r="EI46" i="106" s="1"/>
  <c r="EI47" i="106" s="1"/>
  <c r="EI48" i="106" s="1"/>
  <c r="EI49" i="106" s="1"/>
  <c r="EI50" i="106" s="1"/>
  <c r="EI51" i="106" s="1"/>
  <c r="EI52" i="106" s="1"/>
  <c r="EI53" i="106" s="1"/>
  <c r="EI54" i="106" s="1"/>
  <c r="EI55" i="106" s="1"/>
  <c r="DU24" i="106"/>
  <c r="DU25" i="106" s="1"/>
  <c r="DU26" i="106" s="1"/>
  <c r="DU27" i="106" s="1"/>
  <c r="DU28" i="106" s="1"/>
  <c r="DU29" i="106" s="1"/>
  <c r="DU30" i="106" s="1"/>
  <c r="DU31" i="106" s="1"/>
  <c r="DU32" i="106" s="1"/>
  <c r="DU33" i="106" s="1"/>
  <c r="DU34" i="106" s="1"/>
  <c r="DU35" i="106" s="1"/>
  <c r="DU36" i="106" s="1"/>
  <c r="DU37" i="106" s="1"/>
  <c r="DU38" i="106" s="1"/>
  <c r="DU39" i="106" s="1"/>
  <c r="DU40" i="106" s="1"/>
  <c r="DU41" i="106" s="1"/>
  <c r="DU42" i="106" s="1"/>
  <c r="DU43" i="106" s="1"/>
  <c r="DU44" i="106" s="1"/>
  <c r="DU45" i="106" s="1"/>
  <c r="DU46" i="106" s="1"/>
  <c r="DU47" i="106" s="1"/>
  <c r="DU48" i="106" s="1"/>
  <c r="DU49" i="106" s="1"/>
  <c r="DU50" i="106" s="1"/>
  <c r="DU51" i="106" s="1"/>
  <c r="DU52" i="106" s="1"/>
  <c r="DU53" i="106" s="1"/>
  <c r="DU54" i="106" s="1"/>
  <c r="DU55" i="106" s="1"/>
  <c r="DQ24" i="106"/>
  <c r="DQ25" i="106" s="1"/>
  <c r="DQ26" i="106" s="1"/>
  <c r="DQ27" i="106" s="1"/>
  <c r="DQ28" i="106" s="1"/>
  <c r="DQ29" i="106" s="1"/>
  <c r="DQ30" i="106" s="1"/>
  <c r="DQ31" i="106" s="1"/>
  <c r="DQ32" i="106" s="1"/>
  <c r="DQ33" i="106" s="1"/>
  <c r="DQ34" i="106" s="1"/>
  <c r="DQ35" i="106" s="1"/>
  <c r="DQ36" i="106" s="1"/>
  <c r="DQ37" i="106" s="1"/>
  <c r="DQ38" i="106" s="1"/>
  <c r="DQ39" i="106" s="1"/>
  <c r="DQ40" i="106" s="1"/>
  <c r="DQ41" i="106" s="1"/>
  <c r="DQ42" i="106" s="1"/>
  <c r="DQ43" i="106" s="1"/>
  <c r="DQ44" i="106" s="1"/>
  <c r="DQ45" i="106" s="1"/>
  <c r="DQ46" i="106" s="1"/>
  <c r="DQ47" i="106" s="1"/>
  <c r="DQ48" i="106" s="1"/>
  <c r="DQ49" i="106" s="1"/>
  <c r="DQ50" i="106" s="1"/>
  <c r="DQ51" i="106" s="1"/>
  <c r="DQ52" i="106" s="1"/>
  <c r="DQ53" i="106" s="1"/>
  <c r="DQ54" i="106" s="1"/>
  <c r="DQ55" i="106" s="1"/>
  <c r="DO24" i="106"/>
  <c r="DO25" i="106" s="1"/>
  <c r="DO26" i="106" s="1"/>
  <c r="DO27" i="106" s="1"/>
  <c r="DO28" i="106" s="1"/>
  <c r="DO29" i="106" s="1"/>
  <c r="DO30" i="106" s="1"/>
  <c r="DO31" i="106" s="1"/>
  <c r="DO32" i="106" s="1"/>
  <c r="DO33" i="106" s="1"/>
  <c r="DO34" i="106" s="1"/>
  <c r="DO35" i="106" s="1"/>
  <c r="DO36" i="106" s="1"/>
  <c r="DO37" i="106" s="1"/>
  <c r="DO38" i="106" s="1"/>
  <c r="DO39" i="106" s="1"/>
  <c r="DO40" i="106" s="1"/>
  <c r="DO41" i="106" s="1"/>
  <c r="DO42" i="106" s="1"/>
  <c r="DO43" i="106" s="1"/>
  <c r="DO44" i="106" s="1"/>
  <c r="DO45" i="106" s="1"/>
  <c r="DO46" i="106" s="1"/>
  <c r="DO47" i="106" s="1"/>
  <c r="DO48" i="106" s="1"/>
  <c r="DO49" i="106" s="1"/>
  <c r="DO50" i="106" s="1"/>
  <c r="DO51" i="106" s="1"/>
  <c r="DO52" i="106" s="1"/>
  <c r="DO53" i="106" s="1"/>
  <c r="DO54" i="106" s="1"/>
  <c r="DO55" i="106" s="1"/>
  <c r="DR23" i="106"/>
  <c r="DP24" i="106" s="1"/>
  <c r="N23" i="106"/>
  <c r="R23" i="106" s="1"/>
  <c r="V23" i="106" s="1"/>
  <c r="Z23" i="106" s="1"/>
  <c r="AD23" i="106" s="1"/>
  <c r="L23" i="106"/>
  <c r="P23" i="106" s="1"/>
  <c r="T23" i="106" s="1"/>
  <c r="X23" i="106" s="1"/>
  <c r="AB23" i="106" s="1"/>
  <c r="CR23" i="106" s="1"/>
  <c r="CV23" i="106" s="1"/>
  <c r="DB23" i="106" s="1"/>
  <c r="N21" i="106"/>
  <c r="R21" i="106" s="1"/>
  <c r="V21" i="106" s="1"/>
  <c r="Z21" i="106" s="1"/>
  <c r="AD21" i="106" s="1"/>
  <c r="L21" i="106"/>
  <c r="P21" i="106" s="1"/>
  <c r="T21" i="106" s="1"/>
  <c r="X21" i="106" s="1"/>
  <c r="AB21" i="106" s="1"/>
  <c r="T17" i="106"/>
  <c r="X17" i="106" s="1"/>
  <c r="AB17" i="106" s="1"/>
  <c r="R17" i="106"/>
  <c r="V17" i="106" s="1"/>
  <c r="Z17" i="106" s="1"/>
  <c r="AD17" i="106" s="1"/>
  <c r="N17" i="106"/>
  <c r="L17" i="106"/>
  <c r="P17" i="106" s="1"/>
  <c r="D17" i="106"/>
  <c r="D23" i="106" s="1"/>
  <c r="N14" i="106"/>
  <c r="R14" i="106" s="1"/>
  <c r="V14" i="106" s="1"/>
  <c r="Z14" i="106" s="1"/>
  <c r="AD14" i="106" s="1"/>
  <c r="L14" i="106"/>
  <c r="P14" i="106" s="1"/>
  <c r="T14" i="106" s="1"/>
  <c r="X14" i="106" s="1"/>
  <c r="AB14" i="106" s="1"/>
  <c r="N12" i="106"/>
  <c r="R12" i="106" s="1"/>
  <c r="V12" i="106" s="1"/>
  <c r="Z12" i="106" s="1"/>
  <c r="AD12" i="106" s="1"/>
  <c r="L12" i="106"/>
  <c r="P12" i="106" s="1"/>
  <c r="T12" i="106" s="1"/>
  <c r="X12" i="106" s="1"/>
  <c r="AB12" i="106" s="1"/>
  <c r="N10" i="106"/>
  <c r="R10" i="106" s="1"/>
  <c r="V10" i="106" s="1"/>
  <c r="Z10" i="106" s="1"/>
  <c r="AD10" i="106" s="1"/>
  <c r="L10" i="106"/>
  <c r="P10" i="106" s="1"/>
  <c r="T10" i="106" s="1"/>
  <c r="X10" i="106" s="1"/>
  <c r="AB10" i="106" s="1"/>
  <c r="E10" i="106"/>
  <c r="E12" i="106" s="1"/>
  <c r="E13" i="106" s="1"/>
  <c r="R5" i="106"/>
  <c r="V5" i="106" s="1"/>
  <c r="Z5" i="106" s="1"/>
  <c r="AD5" i="106" s="1"/>
  <c r="N5" i="106"/>
  <c r="L5" i="106"/>
  <c r="P5" i="106" s="1"/>
  <c r="T5" i="106" s="1"/>
  <c r="X5" i="106" s="1"/>
  <c r="AB5" i="106" s="1"/>
  <c r="AD75" i="105"/>
  <c r="AD76" i="105" s="1"/>
  <c r="AD77" i="105" s="1"/>
  <c r="AD78" i="105" s="1"/>
  <c r="AD79" i="105" s="1"/>
  <c r="AD80" i="105" s="1"/>
  <c r="AD81" i="105" s="1"/>
  <c r="AD82" i="105" s="1"/>
  <c r="AD83" i="105" s="1"/>
  <c r="AD84" i="105" s="1"/>
  <c r="AD85" i="105" s="1"/>
  <c r="AD86" i="105" s="1"/>
  <c r="AD87" i="105" s="1"/>
  <c r="AD88" i="105" s="1"/>
  <c r="AD89" i="105" s="1"/>
  <c r="AD90" i="105" s="1"/>
  <c r="AD91" i="105" s="1"/>
  <c r="AD92" i="105" s="1"/>
  <c r="AD93" i="105" s="1"/>
  <c r="AD94" i="105" s="1"/>
  <c r="AD95" i="105" s="1"/>
  <c r="AD96" i="105" s="1"/>
  <c r="AD97" i="105" s="1"/>
  <c r="AD98" i="105" s="1"/>
  <c r="AD99" i="105" s="1"/>
  <c r="AD100" i="105" s="1"/>
  <c r="AD101" i="105" s="1"/>
  <c r="AD102" i="105" s="1"/>
  <c r="AD103" i="105" s="1"/>
  <c r="AD104" i="105" s="1"/>
  <c r="AD105" i="105" s="1"/>
  <c r="AD106" i="105" s="1"/>
  <c r="AF74" i="105"/>
  <c r="AG74" i="105" s="1"/>
  <c r="AE75" i="105" s="1"/>
  <c r="O72" i="105"/>
  <c r="S71" i="105"/>
  <c r="Q70" i="105"/>
  <c r="DE67" i="105"/>
  <c r="DE69" i="105" s="1"/>
  <c r="DE70" i="105" s="1"/>
  <c r="DZ56" i="105"/>
  <c r="DY56" i="105"/>
  <c r="DF55" i="105"/>
  <c r="CX53" i="105"/>
  <c r="C37" i="105"/>
  <c r="C38" i="105" s="1"/>
  <c r="C39" i="105" s="1"/>
  <c r="DC35" i="105"/>
  <c r="DD32" i="105"/>
  <c r="N27" i="105"/>
  <c r="R27" i="105" s="1"/>
  <c r="V27" i="105" s="1"/>
  <c r="Z27" i="105" s="1"/>
  <c r="AD27" i="105" s="1"/>
  <c r="L27" i="105"/>
  <c r="P27" i="105" s="1"/>
  <c r="T27" i="105" s="1"/>
  <c r="X27" i="105" s="1"/>
  <c r="AB27" i="105" s="1"/>
  <c r="EE26" i="105"/>
  <c r="EE27" i="105" s="1"/>
  <c r="EE28" i="105" s="1"/>
  <c r="EE29" i="105" s="1"/>
  <c r="EE30" i="105" s="1"/>
  <c r="EE31" i="105" s="1"/>
  <c r="EE32" i="105" s="1"/>
  <c r="EE33" i="105" s="1"/>
  <c r="EE34" i="105" s="1"/>
  <c r="EE35" i="105" s="1"/>
  <c r="EE36" i="105" s="1"/>
  <c r="EE37" i="105" s="1"/>
  <c r="EE38" i="105" s="1"/>
  <c r="EE39" i="105" s="1"/>
  <c r="EE40" i="105" s="1"/>
  <c r="EE41" i="105" s="1"/>
  <c r="EE42" i="105" s="1"/>
  <c r="EE43" i="105" s="1"/>
  <c r="EE44" i="105" s="1"/>
  <c r="EE45" i="105" s="1"/>
  <c r="EE46" i="105" s="1"/>
  <c r="EE47" i="105" s="1"/>
  <c r="EE48" i="105" s="1"/>
  <c r="EE49" i="105" s="1"/>
  <c r="EE50" i="105" s="1"/>
  <c r="EE51" i="105" s="1"/>
  <c r="EE52" i="105" s="1"/>
  <c r="EE53" i="105" s="1"/>
  <c r="EE54" i="105" s="1"/>
  <c r="EE55" i="105" s="1"/>
  <c r="N25" i="105"/>
  <c r="R25" i="105" s="1"/>
  <c r="V25" i="105" s="1"/>
  <c r="Z25" i="105" s="1"/>
  <c r="AD25" i="105" s="1"/>
  <c r="CT25" i="105" s="1"/>
  <c r="CX25" i="105" s="1"/>
  <c r="L25" i="105"/>
  <c r="P25" i="105" s="1"/>
  <c r="T25" i="105" s="1"/>
  <c r="X25" i="105" s="1"/>
  <c r="AB25" i="105" s="1"/>
  <c r="EI24" i="105"/>
  <c r="EI25" i="105" s="1"/>
  <c r="EI26" i="105" s="1"/>
  <c r="EI27" i="105" s="1"/>
  <c r="EI28" i="105" s="1"/>
  <c r="EI29" i="105" s="1"/>
  <c r="EI30" i="105" s="1"/>
  <c r="EI31" i="105" s="1"/>
  <c r="EI32" i="105" s="1"/>
  <c r="EI33" i="105" s="1"/>
  <c r="EI34" i="105" s="1"/>
  <c r="EI35" i="105" s="1"/>
  <c r="EI36" i="105" s="1"/>
  <c r="EI37" i="105" s="1"/>
  <c r="EI38" i="105" s="1"/>
  <c r="EI39" i="105" s="1"/>
  <c r="EI40" i="105" s="1"/>
  <c r="EI41" i="105" s="1"/>
  <c r="EI42" i="105" s="1"/>
  <c r="EI43" i="105" s="1"/>
  <c r="EI44" i="105" s="1"/>
  <c r="EI45" i="105" s="1"/>
  <c r="EI46" i="105" s="1"/>
  <c r="EI47" i="105" s="1"/>
  <c r="EI48" i="105" s="1"/>
  <c r="EI49" i="105" s="1"/>
  <c r="EI50" i="105" s="1"/>
  <c r="EI51" i="105" s="1"/>
  <c r="EI52" i="105" s="1"/>
  <c r="EI53" i="105" s="1"/>
  <c r="EI54" i="105" s="1"/>
  <c r="EI55" i="105" s="1"/>
  <c r="DU24" i="105"/>
  <c r="DU25" i="105" s="1"/>
  <c r="DU26" i="105" s="1"/>
  <c r="DU27" i="105" s="1"/>
  <c r="DU28" i="105" s="1"/>
  <c r="DU29" i="105" s="1"/>
  <c r="DU30" i="105" s="1"/>
  <c r="DU31" i="105" s="1"/>
  <c r="DU32" i="105" s="1"/>
  <c r="DU33" i="105" s="1"/>
  <c r="DU34" i="105" s="1"/>
  <c r="DU35" i="105" s="1"/>
  <c r="DU36" i="105" s="1"/>
  <c r="DU37" i="105" s="1"/>
  <c r="DU38" i="105" s="1"/>
  <c r="DU39" i="105" s="1"/>
  <c r="DU40" i="105" s="1"/>
  <c r="DU41" i="105" s="1"/>
  <c r="DU42" i="105" s="1"/>
  <c r="DU43" i="105" s="1"/>
  <c r="DU44" i="105" s="1"/>
  <c r="DU45" i="105" s="1"/>
  <c r="DU46" i="105" s="1"/>
  <c r="DU47" i="105" s="1"/>
  <c r="DU48" i="105" s="1"/>
  <c r="DU49" i="105" s="1"/>
  <c r="DU50" i="105" s="1"/>
  <c r="DU51" i="105" s="1"/>
  <c r="DU52" i="105" s="1"/>
  <c r="DU53" i="105" s="1"/>
  <c r="DU54" i="105" s="1"/>
  <c r="DU55" i="105" s="1"/>
  <c r="DQ24" i="105"/>
  <c r="DO24" i="105"/>
  <c r="DO25" i="105" s="1"/>
  <c r="DO26" i="105" s="1"/>
  <c r="DO27" i="105" s="1"/>
  <c r="DO28" i="105" s="1"/>
  <c r="DO29" i="105" s="1"/>
  <c r="DO30" i="105" s="1"/>
  <c r="DO31" i="105" s="1"/>
  <c r="DO32" i="105" s="1"/>
  <c r="DO33" i="105" s="1"/>
  <c r="DO34" i="105" s="1"/>
  <c r="DO35" i="105" s="1"/>
  <c r="DO36" i="105" s="1"/>
  <c r="DO37" i="105" s="1"/>
  <c r="DO38" i="105" s="1"/>
  <c r="DO39" i="105" s="1"/>
  <c r="DO40" i="105" s="1"/>
  <c r="DO41" i="105" s="1"/>
  <c r="DO42" i="105" s="1"/>
  <c r="DO43" i="105" s="1"/>
  <c r="DO44" i="105" s="1"/>
  <c r="DO45" i="105" s="1"/>
  <c r="DO46" i="105" s="1"/>
  <c r="DO47" i="105" s="1"/>
  <c r="DO48" i="105" s="1"/>
  <c r="DO49" i="105" s="1"/>
  <c r="DO50" i="105" s="1"/>
  <c r="DO51" i="105" s="1"/>
  <c r="DO52" i="105" s="1"/>
  <c r="DO53" i="105" s="1"/>
  <c r="DO54" i="105" s="1"/>
  <c r="DO55" i="105" s="1"/>
  <c r="DR23" i="105"/>
  <c r="DP24" i="105" s="1"/>
  <c r="N23" i="105"/>
  <c r="R23" i="105" s="1"/>
  <c r="V23" i="105" s="1"/>
  <c r="Z23" i="105" s="1"/>
  <c r="AD23" i="105" s="1"/>
  <c r="CT23" i="105" s="1"/>
  <c r="CX23" i="105" s="1"/>
  <c r="L23" i="105"/>
  <c r="P23" i="105" s="1"/>
  <c r="T23" i="105" s="1"/>
  <c r="X23" i="105" s="1"/>
  <c r="AB23" i="105" s="1"/>
  <c r="N21" i="105"/>
  <c r="R21" i="105" s="1"/>
  <c r="V21" i="105" s="1"/>
  <c r="Z21" i="105" s="1"/>
  <c r="AD21" i="105" s="1"/>
  <c r="L21" i="105"/>
  <c r="P21" i="105" s="1"/>
  <c r="T21" i="105" s="1"/>
  <c r="X21" i="105" s="1"/>
  <c r="AB21" i="105" s="1"/>
  <c r="N17" i="105"/>
  <c r="R17" i="105" s="1"/>
  <c r="V17" i="105" s="1"/>
  <c r="Z17" i="105" s="1"/>
  <c r="AD17" i="105" s="1"/>
  <c r="L17" i="105"/>
  <c r="P17" i="105" s="1"/>
  <c r="T17" i="105" s="1"/>
  <c r="X17" i="105" s="1"/>
  <c r="AB17" i="105" s="1"/>
  <c r="D17" i="105"/>
  <c r="D23" i="105" s="1"/>
  <c r="N14" i="105"/>
  <c r="R14" i="105" s="1"/>
  <c r="V14" i="105" s="1"/>
  <c r="Z14" i="105" s="1"/>
  <c r="AD14" i="105" s="1"/>
  <c r="L14" i="105"/>
  <c r="P14" i="105" s="1"/>
  <c r="T14" i="105" s="1"/>
  <c r="X14" i="105" s="1"/>
  <c r="AB14" i="105" s="1"/>
  <c r="N12" i="105"/>
  <c r="R12" i="105" s="1"/>
  <c r="V12" i="105" s="1"/>
  <c r="Z12" i="105" s="1"/>
  <c r="AD12" i="105" s="1"/>
  <c r="L12" i="105"/>
  <c r="P12" i="105" s="1"/>
  <c r="T12" i="105" s="1"/>
  <c r="X12" i="105" s="1"/>
  <c r="AB12" i="105" s="1"/>
  <c r="N10" i="105"/>
  <c r="R10" i="105" s="1"/>
  <c r="V10" i="105" s="1"/>
  <c r="Z10" i="105" s="1"/>
  <c r="AD10" i="105" s="1"/>
  <c r="L10" i="105"/>
  <c r="P10" i="105" s="1"/>
  <c r="T10" i="105" s="1"/>
  <c r="X10" i="105" s="1"/>
  <c r="AB10" i="105" s="1"/>
  <c r="E10" i="105"/>
  <c r="E12" i="105" s="1"/>
  <c r="E13" i="105" s="1"/>
  <c r="N5" i="105"/>
  <c r="R5" i="105" s="1"/>
  <c r="V5" i="105" s="1"/>
  <c r="Z5" i="105" s="1"/>
  <c r="AD5" i="105" s="1"/>
  <c r="L5" i="105"/>
  <c r="P5" i="105" s="1"/>
  <c r="T5" i="105" s="1"/>
  <c r="X5" i="105" s="1"/>
  <c r="AB5" i="105" s="1"/>
  <c r="BL66" i="93"/>
  <c r="AD75" i="104"/>
  <c r="AD76" i="104" s="1"/>
  <c r="AD77" i="104" s="1"/>
  <c r="AD78" i="104" s="1"/>
  <c r="AD79" i="104" s="1"/>
  <c r="AD80" i="104" s="1"/>
  <c r="AD81" i="104" s="1"/>
  <c r="AD82" i="104" s="1"/>
  <c r="AD83" i="104" s="1"/>
  <c r="AD84" i="104" s="1"/>
  <c r="AD85" i="104" s="1"/>
  <c r="AD86" i="104" s="1"/>
  <c r="AD87" i="104" s="1"/>
  <c r="AD88" i="104" s="1"/>
  <c r="AD89" i="104" s="1"/>
  <c r="AD90" i="104" s="1"/>
  <c r="AD91" i="104" s="1"/>
  <c r="AD92" i="104" s="1"/>
  <c r="AD93" i="104" s="1"/>
  <c r="AD94" i="104" s="1"/>
  <c r="AD95" i="104" s="1"/>
  <c r="AD96" i="104" s="1"/>
  <c r="AD97" i="104" s="1"/>
  <c r="AD98" i="104" s="1"/>
  <c r="AD99" i="104" s="1"/>
  <c r="AD100" i="104" s="1"/>
  <c r="AD101" i="104" s="1"/>
  <c r="AD102" i="104" s="1"/>
  <c r="AD103" i="104" s="1"/>
  <c r="AD104" i="104" s="1"/>
  <c r="AD105" i="104" s="1"/>
  <c r="AD106" i="104" s="1"/>
  <c r="AF74" i="104"/>
  <c r="O72" i="104"/>
  <c r="Q70" i="104" s="1"/>
  <c r="S71" i="104"/>
  <c r="BY69" i="104"/>
  <c r="BY70" i="104" s="1"/>
  <c r="BY67" i="104"/>
  <c r="CT56" i="104"/>
  <c r="CS56" i="104"/>
  <c r="BZ55" i="104"/>
  <c r="BR53" i="104"/>
  <c r="C37" i="104"/>
  <c r="C38" i="104" s="1"/>
  <c r="C39" i="104" s="1"/>
  <c r="C40" i="104" s="1"/>
  <c r="C41" i="104" s="1"/>
  <c r="C42" i="104" s="1"/>
  <c r="BW35" i="104"/>
  <c r="BX32" i="104"/>
  <c r="R27" i="104"/>
  <c r="V27" i="104" s="1"/>
  <c r="Z27" i="104" s="1"/>
  <c r="AD27" i="104" s="1"/>
  <c r="P27" i="104"/>
  <c r="T27" i="104" s="1"/>
  <c r="X27" i="104" s="1"/>
  <c r="AB27" i="104" s="1"/>
  <c r="AF27" i="104" s="1"/>
  <c r="AJ27" i="104" s="1"/>
  <c r="AN27" i="104" s="1"/>
  <c r="AR27" i="104" s="1"/>
  <c r="BD27" i="104" s="1"/>
  <c r="BH27" i="104" s="1"/>
  <c r="N27" i="104"/>
  <c r="L27" i="104"/>
  <c r="CY26" i="104"/>
  <c r="CY27" i="104" s="1"/>
  <c r="CY28" i="104" s="1"/>
  <c r="CY29" i="104" s="1"/>
  <c r="CY30" i="104" s="1"/>
  <c r="CY31" i="104" s="1"/>
  <c r="CY32" i="104" s="1"/>
  <c r="CY33" i="104" s="1"/>
  <c r="CY34" i="104" s="1"/>
  <c r="CY35" i="104" s="1"/>
  <c r="CY36" i="104" s="1"/>
  <c r="CY37" i="104" s="1"/>
  <c r="CY38" i="104" s="1"/>
  <c r="CY39" i="104" s="1"/>
  <c r="CY40" i="104" s="1"/>
  <c r="CY41" i="104" s="1"/>
  <c r="CY42" i="104" s="1"/>
  <c r="CY43" i="104" s="1"/>
  <c r="CY44" i="104" s="1"/>
  <c r="CY45" i="104" s="1"/>
  <c r="CY46" i="104" s="1"/>
  <c r="CY47" i="104" s="1"/>
  <c r="CY48" i="104" s="1"/>
  <c r="CY49" i="104" s="1"/>
  <c r="CY50" i="104" s="1"/>
  <c r="CY51" i="104" s="1"/>
  <c r="CY52" i="104" s="1"/>
  <c r="CY53" i="104" s="1"/>
  <c r="CY54" i="104" s="1"/>
  <c r="CY55" i="104" s="1"/>
  <c r="CK26" i="104"/>
  <c r="CK27" i="104" s="1"/>
  <c r="CK28" i="104" s="1"/>
  <c r="CK29" i="104" s="1"/>
  <c r="CK30" i="104" s="1"/>
  <c r="CK31" i="104" s="1"/>
  <c r="CK32" i="104" s="1"/>
  <c r="CK33" i="104" s="1"/>
  <c r="CK34" i="104" s="1"/>
  <c r="CK35" i="104" s="1"/>
  <c r="CK36" i="104" s="1"/>
  <c r="CK37" i="104" s="1"/>
  <c r="CK38" i="104" s="1"/>
  <c r="CK39" i="104" s="1"/>
  <c r="CK40" i="104" s="1"/>
  <c r="CK41" i="104" s="1"/>
  <c r="CK42" i="104" s="1"/>
  <c r="CK43" i="104" s="1"/>
  <c r="CK44" i="104" s="1"/>
  <c r="CK45" i="104" s="1"/>
  <c r="CK46" i="104" s="1"/>
  <c r="CK47" i="104" s="1"/>
  <c r="CK48" i="104" s="1"/>
  <c r="CK49" i="104" s="1"/>
  <c r="CK50" i="104" s="1"/>
  <c r="CK51" i="104" s="1"/>
  <c r="CK52" i="104" s="1"/>
  <c r="CK53" i="104" s="1"/>
  <c r="CK54" i="104" s="1"/>
  <c r="CK55" i="104" s="1"/>
  <c r="N25" i="104"/>
  <c r="R25" i="104" s="1"/>
  <c r="V25" i="104" s="1"/>
  <c r="Z25" i="104" s="1"/>
  <c r="AD25" i="104" s="1"/>
  <c r="L25" i="104"/>
  <c r="P25" i="104" s="1"/>
  <c r="T25" i="104" s="1"/>
  <c r="X25" i="104" s="1"/>
  <c r="AB25" i="104" s="1"/>
  <c r="AF25" i="104" s="1"/>
  <c r="AJ25" i="104" s="1"/>
  <c r="AN25" i="104" s="1"/>
  <c r="AR25" i="104" s="1"/>
  <c r="DC24" i="104"/>
  <c r="DC25" i="104" s="1"/>
  <c r="DC26" i="104" s="1"/>
  <c r="DC27" i="104" s="1"/>
  <c r="DC28" i="104" s="1"/>
  <c r="DC29" i="104" s="1"/>
  <c r="DC30" i="104" s="1"/>
  <c r="DC31" i="104" s="1"/>
  <c r="DC32" i="104" s="1"/>
  <c r="DC33" i="104" s="1"/>
  <c r="DC34" i="104" s="1"/>
  <c r="DC35" i="104" s="1"/>
  <c r="DC36" i="104" s="1"/>
  <c r="DC37" i="104" s="1"/>
  <c r="DC38" i="104" s="1"/>
  <c r="DC39" i="104" s="1"/>
  <c r="DC40" i="104" s="1"/>
  <c r="DC41" i="104" s="1"/>
  <c r="DC42" i="104" s="1"/>
  <c r="DC43" i="104" s="1"/>
  <c r="DC44" i="104" s="1"/>
  <c r="DC45" i="104" s="1"/>
  <c r="DC46" i="104" s="1"/>
  <c r="DC47" i="104" s="1"/>
  <c r="DC48" i="104" s="1"/>
  <c r="DC49" i="104" s="1"/>
  <c r="DC50" i="104" s="1"/>
  <c r="DC51" i="104" s="1"/>
  <c r="DC52" i="104" s="1"/>
  <c r="DC53" i="104" s="1"/>
  <c r="DC54" i="104" s="1"/>
  <c r="DC55" i="104" s="1"/>
  <c r="CO24" i="104"/>
  <c r="CO25" i="104" s="1"/>
  <c r="CO26" i="104" s="1"/>
  <c r="CO27" i="104" s="1"/>
  <c r="CO28" i="104" s="1"/>
  <c r="CO29" i="104" s="1"/>
  <c r="CO30" i="104" s="1"/>
  <c r="CO31" i="104" s="1"/>
  <c r="CO32" i="104" s="1"/>
  <c r="CO33" i="104" s="1"/>
  <c r="CO34" i="104" s="1"/>
  <c r="CO35" i="104" s="1"/>
  <c r="CO36" i="104" s="1"/>
  <c r="CO37" i="104" s="1"/>
  <c r="CO38" i="104" s="1"/>
  <c r="CO39" i="104" s="1"/>
  <c r="CO40" i="104" s="1"/>
  <c r="CO41" i="104" s="1"/>
  <c r="CO42" i="104" s="1"/>
  <c r="CO43" i="104" s="1"/>
  <c r="CO44" i="104" s="1"/>
  <c r="CO45" i="104" s="1"/>
  <c r="CO46" i="104" s="1"/>
  <c r="CO47" i="104" s="1"/>
  <c r="CO48" i="104" s="1"/>
  <c r="CO49" i="104" s="1"/>
  <c r="CO50" i="104" s="1"/>
  <c r="CO51" i="104" s="1"/>
  <c r="CO52" i="104" s="1"/>
  <c r="CO53" i="104" s="1"/>
  <c r="CO54" i="104" s="1"/>
  <c r="CO55" i="104" s="1"/>
  <c r="CK24" i="104"/>
  <c r="CK25" i="104" s="1"/>
  <c r="CI24" i="104"/>
  <c r="CI25" i="104" s="1"/>
  <c r="CI26" i="104" s="1"/>
  <c r="CI27" i="104" s="1"/>
  <c r="CI28" i="104" s="1"/>
  <c r="CI29" i="104" s="1"/>
  <c r="CI30" i="104" s="1"/>
  <c r="CI31" i="104" s="1"/>
  <c r="CI32" i="104" s="1"/>
  <c r="CI33" i="104" s="1"/>
  <c r="CI34" i="104" s="1"/>
  <c r="CI35" i="104" s="1"/>
  <c r="CI36" i="104" s="1"/>
  <c r="CI37" i="104" s="1"/>
  <c r="CI38" i="104" s="1"/>
  <c r="CI39" i="104" s="1"/>
  <c r="CI40" i="104" s="1"/>
  <c r="CI41" i="104" s="1"/>
  <c r="CI42" i="104" s="1"/>
  <c r="CI43" i="104" s="1"/>
  <c r="CI44" i="104" s="1"/>
  <c r="CI45" i="104" s="1"/>
  <c r="CI46" i="104" s="1"/>
  <c r="CI47" i="104" s="1"/>
  <c r="CI48" i="104" s="1"/>
  <c r="CI49" i="104" s="1"/>
  <c r="CI50" i="104" s="1"/>
  <c r="CI51" i="104" s="1"/>
  <c r="CI52" i="104" s="1"/>
  <c r="CI53" i="104" s="1"/>
  <c r="CI54" i="104" s="1"/>
  <c r="CI55" i="104" s="1"/>
  <c r="CL23" i="104"/>
  <c r="CJ24" i="104" s="1"/>
  <c r="AD23" i="104"/>
  <c r="N23" i="104"/>
  <c r="R23" i="104" s="1"/>
  <c r="V23" i="104" s="1"/>
  <c r="Z23" i="104" s="1"/>
  <c r="L23" i="104"/>
  <c r="P23" i="104" s="1"/>
  <c r="T23" i="104" s="1"/>
  <c r="X23" i="104" s="1"/>
  <c r="AB23" i="104" s="1"/>
  <c r="P21" i="104"/>
  <c r="T21" i="104" s="1"/>
  <c r="X21" i="104" s="1"/>
  <c r="AB21" i="104" s="1"/>
  <c r="N21" i="104"/>
  <c r="R21" i="104" s="1"/>
  <c r="V21" i="104" s="1"/>
  <c r="Z21" i="104" s="1"/>
  <c r="AD21" i="104" s="1"/>
  <c r="L21" i="104"/>
  <c r="N17" i="104"/>
  <c r="R17" i="104" s="1"/>
  <c r="V17" i="104" s="1"/>
  <c r="Z17" i="104" s="1"/>
  <c r="AD17" i="104" s="1"/>
  <c r="L17" i="104"/>
  <c r="P17" i="104" s="1"/>
  <c r="T17" i="104" s="1"/>
  <c r="X17" i="104" s="1"/>
  <c r="AB17" i="104" s="1"/>
  <c r="D17" i="104"/>
  <c r="D23" i="104" s="1"/>
  <c r="N14" i="104"/>
  <c r="R14" i="104" s="1"/>
  <c r="V14" i="104" s="1"/>
  <c r="Z14" i="104" s="1"/>
  <c r="AD14" i="104" s="1"/>
  <c r="AH14" i="104" s="1"/>
  <c r="AL14" i="104" s="1"/>
  <c r="AP14" i="104" s="1"/>
  <c r="AT14" i="104" s="1"/>
  <c r="BF14" i="104" s="1"/>
  <c r="BJ14" i="104" s="1"/>
  <c r="L14" i="104"/>
  <c r="P14" i="104" s="1"/>
  <c r="T14" i="104" s="1"/>
  <c r="X14" i="104" s="1"/>
  <c r="AB14" i="104" s="1"/>
  <c r="N12" i="104"/>
  <c r="R12" i="104" s="1"/>
  <c r="V12" i="104" s="1"/>
  <c r="Z12" i="104" s="1"/>
  <c r="AD12" i="104" s="1"/>
  <c r="L12" i="104"/>
  <c r="P12" i="104" s="1"/>
  <c r="T12" i="104" s="1"/>
  <c r="X12" i="104" s="1"/>
  <c r="AB12" i="104" s="1"/>
  <c r="N10" i="104"/>
  <c r="R10" i="104" s="1"/>
  <c r="V10" i="104" s="1"/>
  <c r="Z10" i="104" s="1"/>
  <c r="AD10" i="104" s="1"/>
  <c r="L10" i="104"/>
  <c r="P10" i="104" s="1"/>
  <c r="T10" i="104" s="1"/>
  <c r="X10" i="104" s="1"/>
  <c r="AB10" i="104" s="1"/>
  <c r="E10" i="104"/>
  <c r="E12" i="104" s="1"/>
  <c r="E13" i="104" s="1"/>
  <c r="N5" i="104"/>
  <c r="R5" i="104" s="1"/>
  <c r="V5" i="104" s="1"/>
  <c r="Z5" i="104" s="1"/>
  <c r="AD5" i="104" s="1"/>
  <c r="L5" i="104"/>
  <c r="P5" i="104" s="1"/>
  <c r="T5" i="104" s="1"/>
  <c r="X5" i="104" s="1"/>
  <c r="AB5" i="104" s="1"/>
  <c r="AD75" i="102"/>
  <c r="AD76" i="102" s="1"/>
  <c r="AD77" i="102" s="1"/>
  <c r="AD78" i="102" s="1"/>
  <c r="AD79" i="102" s="1"/>
  <c r="AD80" i="102" s="1"/>
  <c r="AD81" i="102" s="1"/>
  <c r="AD82" i="102" s="1"/>
  <c r="AD83" i="102" s="1"/>
  <c r="AD84" i="102" s="1"/>
  <c r="AD85" i="102" s="1"/>
  <c r="AD86" i="102" s="1"/>
  <c r="AD87" i="102" s="1"/>
  <c r="AD88" i="102" s="1"/>
  <c r="AD89" i="102" s="1"/>
  <c r="AD90" i="102" s="1"/>
  <c r="AD91" i="102" s="1"/>
  <c r="AD92" i="102" s="1"/>
  <c r="AD93" i="102" s="1"/>
  <c r="AD94" i="102" s="1"/>
  <c r="AD95" i="102" s="1"/>
  <c r="AD96" i="102" s="1"/>
  <c r="AD97" i="102" s="1"/>
  <c r="AD98" i="102" s="1"/>
  <c r="AD99" i="102" s="1"/>
  <c r="AD100" i="102" s="1"/>
  <c r="AD101" i="102" s="1"/>
  <c r="AD102" i="102" s="1"/>
  <c r="AD103" i="102" s="1"/>
  <c r="AD104" i="102" s="1"/>
  <c r="AD105" i="102" s="1"/>
  <c r="AD106" i="102" s="1"/>
  <c r="AF74" i="102"/>
  <c r="O72" i="102"/>
  <c r="Q70" i="102" s="1"/>
  <c r="S71" i="102"/>
  <c r="BY70" i="102"/>
  <c r="BY67" i="102"/>
  <c r="BY69" i="102" s="1"/>
  <c r="CT56" i="102"/>
  <c r="CS56" i="102"/>
  <c r="BZ55" i="102"/>
  <c r="BR53" i="102"/>
  <c r="C37" i="102"/>
  <c r="C38" i="102" s="1"/>
  <c r="BW35" i="102"/>
  <c r="BX32" i="102"/>
  <c r="CK30" i="102"/>
  <c r="CK31" i="102" s="1"/>
  <c r="CK32" i="102" s="1"/>
  <c r="CK33" i="102" s="1"/>
  <c r="CK34" i="102" s="1"/>
  <c r="CK35" i="102" s="1"/>
  <c r="CK36" i="102" s="1"/>
  <c r="CK37" i="102" s="1"/>
  <c r="CK38" i="102" s="1"/>
  <c r="CK39" i="102" s="1"/>
  <c r="CK40" i="102" s="1"/>
  <c r="CK41" i="102" s="1"/>
  <c r="CK42" i="102" s="1"/>
  <c r="CK43" i="102" s="1"/>
  <c r="CK44" i="102" s="1"/>
  <c r="CK45" i="102" s="1"/>
  <c r="CK46" i="102" s="1"/>
  <c r="CK47" i="102" s="1"/>
  <c r="CK48" i="102" s="1"/>
  <c r="CK49" i="102" s="1"/>
  <c r="CK50" i="102" s="1"/>
  <c r="CK51" i="102" s="1"/>
  <c r="CK52" i="102" s="1"/>
  <c r="CK53" i="102" s="1"/>
  <c r="CK54" i="102" s="1"/>
  <c r="CK55" i="102" s="1"/>
  <c r="BN27" i="102"/>
  <c r="BR27" i="102" s="1"/>
  <c r="N27" i="102"/>
  <c r="R27" i="102" s="1"/>
  <c r="V27" i="102" s="1"/>
  <c r="Z27" i="102" s="1"/>
  <c r="AD27" i="102" s="1"/>
  <c r="AH27" i="102" s="1"/>
  <c r="AL27" i="102" s="1"/>
  <c r="AP27" i="102" s="1"/>
  <c r="AT27" i="102" s="1"/>
  <c r="L27" i="102"/>
  <c r="P27" i="102" s="1"/>
  <c r="T27" i="102" s="1"/>
  <c r="X27" i="102" s="1"/>
  <c r="AB27" i="102" s="1"/>
  <c r="AF27" i="102" s="1"/>
  <c r="AJ27" i="102" s="1"/>
  <c r="AN27" i="102" s="1"/>
  <c r="AR27" i="102" s="1"/>
  <c r="CY26" i="102"/>
  <c r="CY27" i="102" s="1"/>
  <c r="CY28" i="102" s="1"/>
  <c r="CY29" i="102" s="1"/>
  <c r="CY30" i="102" s="1"/>
  <c r="CY31" i="102" s="1"/>
  <c r="CY32" i="102" s="1"/>
  <c r="CY33" i="102" s="1"/>
  <c r="CY34" i="102" s="1"/>
  <c r="CY35" i="102" s="1"/>
  <c r="CY36" i="102" s="1"/>
  <c r="CY37" i="102" s="1"/>
  <c r="CY38" i="102" s="1"/>
  <c r="CY39" i="102" s="1"/>
  <c r="CY40" i="102" s="1"/>
  <c r="CY41" i="102" s="1"/>
  <c r="CY42" i="102" s="1"/>
  <c r="CY43" i="102" s="1"/>
  <c r="CY44" i="102" s="1"/>
  <c r="CY45" i="102" s="1"/>
  <c r="CY46" i="102" s="1"/>
  <c r="CY47" i="102" s="1"/>
  <c r="CY48" i="102" s="1"/>
  <c r="CY49" i="102" s="1"/>
  <c r="CY50" i="102" s="1"/>
  <c r="CY51" i="102" s="1"/>
  <c r="CY52" i="102" s="1"/>
  <c r="CY53" i="102" s="1"/>
  <c r="CY54" i="102" s="1"/>
  <c r="CY55" i="102" s="1"/>
  <c r="N25" i="102"/>
  <c r="R25" i="102" s="1"/>
  <c r="V25" i="102" s="1"/>
  <c r="Z25" i="102" s="1"/>
  <c r="AD25" i="102" s="1"/>
  <c r="BN25" i="102" s="1"/>
  <c r="BR25" i="102" s="1"/>
  <c r="L25" i="102"/>
  <c r="P25" i="102" s="1"/>
  <c r="T25" i="102" s="1"/>
  <c r="X25" i="102" s="1"/>
  <c r="AB25" i="102" s="1"/>
  <c r="DC24" i="102"/>
  <c r="DC25" i="102" s="1"/>
  <c r="DC26" i="102" s="1"/>
  <c r="DC27" i="102" s="1"/>
  <c r="DC28" i="102" s="1"/>
  <c r="DC29" i="102" s="1"/>
  <c r="DC30" i="102" s="1"/>
  <c r="DC31" i="102" s="1"/>
  <c r="DC32" i="102" s="1"/>
  <c r="DC33" i="102" s="1"/>
  <c r="DC34" i="102" s="1"/>
  <c r="DC35" i="102" s="1"/>
  <c r="DC36" i="102" s="1"/>
  <c r="DC37" i="102" s="1"/>
  <c r="DC38" i="102" s="1"/>
  <c r="DC39" i="102" s="1"/>
  <c r="DC40" i="102" s="1"/>
  <c r="DC41" i="102" s="1"/>
  <c r="DC42" i="102" s="1"/>
  <c r="DC43" i="102" s="1"/>
  <c r="DC44" i="102" s="1"/>
  <c r="DC45" i="102" s="1"/>
  <c r="DC46" i="102" s="1"/>
  <c r="DC47" i="102" s="1"/>
  <c r="DC48" i="102" s="1"/>
  <c r="DC49" i="102" s="1"/>
  <c r="DC50" i="102" s="1"/>
  <c r="DC51" i="102" s="1"/>
  <c r="DC52" i="102" s="1"/>
  <c r="DC53" i="102" s="1"/>
  <c r="DC54" i="102" s="1"/>
  <c r="DC55" i="102" s="1"/>
  <c r="CO24" i="102"/>
  <c r="CO25" i="102" s="1"/>
  <c r="CO26" i="102" s="1"/>
  <c r="CO27" i="102" s="1"/>
  <c r="CO28" i="102" s="1"/>
  <c r="CO29" i="102" s="1"/>
  <c r="CO30" i="102" s="1"/>
  <c r="CO31" i="102" s="1"/>
  <c r="CO32" i="102" s="1"/>
  <c r="CO33" i="102" s="1"/>
  <c r="CO34" i="102" s="1"/>
  <c r="CO35" i="102" s="1"/>
  <c r="CO36" i="102" s="1"/>
  <c r="CO37" i="102" s="1"/>
  <c r="CO38" i="102" s="1"/>
  <c r="CO39" i="102" s="1"/>
  <c r="CO40" i="102" s="1"/>
  <c r="CO41" i="102" s="1"/>
  <c r="CO42" i="102" s="1"/>
  <c r="CO43" i="102" s="1"/>
  <c r="CO44" i="102" s="1"/>
  <c r="CO45" i="102" s="1"/>
  <c r="CO46" i="102" s="1"/>
  <c r="CO47" i="102" s="1"/>
  <c r="CO48" i="102" s="1"/>
  <c r="CO49" i="102" s="1"/>
  <c r="CO50" i="102" s="1"/>
  <c r="CO51" i="102" s="1"/>
  <c r="CO52" i="102" s="1"/>
  <c r="CO53" i="102" s="1"/>
  <c r="CO54" i="102" s="1"/>
  <c r="CO55" i="102" s="1"/>
  <c r="CK24" i="102"/>
  <c r="CK25" i="102" s="1"/>
  <c r="CK26" i="102" s="1"/>
  <c r="CK27" i="102" s="1"/>
  <c r="CK28" i="102" s="1"/>
  <c r="CK29" i="102" s="1"/>
  <c r="CJ24" i="102"/>
  <c r="CI24" i="102"/>
  <c r="CI25" i="102" s="1"/>
  <c r="CI26" i="102" s="1"/>
  <c r="CI27" i="102" s="1"/>
  <c r="CI28" i="102" s="1"/>
  <c r="CI29" i="102" s="1"/>
  <c r="CI30" i="102" s="1"/>
  <c r="CI31" i="102" s="1"/>
  <c r="CI32" i="102" s="1"/>
  <c r="CI33" i="102" s="1"/>
  <c r="CI34" i="102" s="1"/>
  <c r="CI35" i="102" s="1"/>
  <c r="CI36" i="102" s="1"/>
  <c r="CI37" i="102" s="1"/>
  <c r="CI38" i="102" s="1"/>
  <c r="CI39" i="102" s="1"/>
  <c r="CI40" i="102" s="1"/>
  <c r="CI41" i="102" s="1"/>
  <c r="CI42" i="102" s="1"/>
  <c r="CI43" i="102" s="1"/>
  <c r="CI44" i="102" s="1"/>
  <c r="CI45" i="102" s="1"/>
  <c r="CI46" i="102" s="1"/>
  <c r="CI47" i="102" s="1"/>
  <c r="CI48" i="102" s="1"/>
  <c r="CI49" i="102" s="1"/>
  <c r="CI50" i="102" s="1"/>
  <c r="CI51" i="102" s="1"/>
  <c r="CI52" i="102" s="1"/>
  <c r="CI53" i="102" s="1"/>
  <c r="CI54" i="102" s="1"/>
  <c r="CI55" i="102" s="1"/>
  <c r="CL23" i="102"/>
  <c r="N23" i="102"/>
  <c r="R23" i="102" s="1"/>
  <c r="V23" i="102" s="1"/>
  <c r="Z23" i="102" s="1"/>
  <c r="AD23" i="102" s="1"/>
  <c r="BN23" i="102" s="1"/>
  <c r="BR23" i="102" s="1"/>
  <c r="L23" i="102"/>
  <c r="P23" i="102" s="1"/>
  <c r="T23" i="102" s="1"/>
  <c r="X23" i="102" s="1"/>
  <c r="AB23" i="102" s="1"/>
  <c r="N21" i="102"/>
  <c r="R21" i="102" s="1"/>
  <c r="V21" i="102" s="1"/>
  <c r="Z21" i="102" s="1"/>
  <c r="AD21" i="102" s="1"/>
  <c r="L21" i="102"/>
  <c r="P21" i="102" s="1"/>
  <c r="T21" i="102" s="1"/>
  <c r="X21" i="102" s="1"/>
  <c r="AB21" i="102" s="1"/>
  <c r="V17" i="102"/>
  <c r="Z17" i="102" s="1"/>
  <c r="AD17" i="102" s="1"/>
  <c r="N17" i="102"/>
  <c r="R17" i="102" s="1"/>
  <c r="L17" i="102"/>
  <c r="P17" i="102" s="1"/>
  <c r="T17" i="102" s="1"/>
  <c r="X17" i="102" s="1"/>
  <c r="AB17" i="102" s="1"/>
  <c r="D17" i="102"/>
  <c r="D23" i="102" s="1"/>
  <c r="R14" i="102"/>
  <c r="V14" i="102" s="1"/>
  <c r="Z14" i="102" s="1"/>
  <c r="AD14" i="102" s="1"/>
  <c r="AH14" i="102" s="1"/>
  <c r="AL14" i="102" s="1"/>
  <c r="AP14" i="102" s="1"/>
  <c r="AT14" i="102" s="1"/>
  <c r="N14" i="102"/>
  <c r="L14" i="102"/>
  <c r="P14" i="102" s="1"/>
  <c r="T14" i="102" s="1"/>
  <c r="X14" i="102" s="1"/>
  <c r="AB14" i="102" s="1"/>
  <c r="Z12" i="102"/>
  <c r="AD12" i="102" s="1"/>
  <c r="N12" i="102"/>
  <c r="R12" i="102" s="1"/>
  <c r="V12" i="102" s="1"/>
  <c r="L12" i="102"/>
  <c r="P12" i="102" s="1"/>
  <c r="T12" i="102" s="1"/>
  <c r="X12" i="102" s="1"/>
  <c r="AB12" i="102" s="1"/>
  <c r="V10" i="102"/>
  <c r="Z10" i="102" s="1"/>
  <c r="AD10" i="102" s="1"/>
  <c r="BN10" i="102" s="1"/>
  <c r="BR10" i="102" s="1"/>
  <c r="N10" i="102"/>
  <c r="R10" i="102" s="1"/>
  <c r="L10" i="102"/>
  <c r="P10" i="102" s="1"/>
  <c r="T10" i="102" s="1"/>
  <c r="X10" i="102" s="1"/>
  <c r="AB10" i="102" s="1"/>
  <c r="AF10" i="102" s="1"/>
  <c r="AJ10" i="102" s="1"/>
  <c r="AN10" i="102" s="1"/>
  <c r="AR10" i="102" s="1"/>
  <c r="E10" i="102"/>
  <c r="E12" i="102" s="1"/>
  <c r="E13" i="102" s="1"/>
  <c r="AD75" i="101"/>
  <c r="AD76" i="101" s="1"/>
  <c r="AD77" i="101" s="1"/>
  <c r="AD78" i="101" s="1"/>
  <c r="AD79" i="101" s="1"/>
  <c r="AD80" i="101" s="1"/>
  <c r="AD81" i="101" s="1"/>
  <c r="AD82" i="101" s="1"/>
  <c r="AD83" i="101" s="1"/>
  <c r="AD84" i="101" s="1"/>
  <c r="AD85" i="101" s="1"/>
  <c r="AD86" i="101" s="1"/>
  <c r="AD87" i="101" s="1"/>
  <c r="AD88" i="101" s="1"/>
  <c r="AD89" i="101" s="1"/>
  <c r="AD90" i="101" s="1"/>
  <c r="AD91" i="101" s="1"/>
  <c r="AD92" i="101" s="1"/>
  <c r="AD93" i="101" s="1"/>
  <c r="AD94" i="101" s="1"/>
  <c r="AD95" i="101" s="1"/>
  <c r="AD96" i="101" s="1"/>
  <c r="AD97" i="101" s="1"/>
  <c r="AD98" i="101" s="1"/>
  <c r="AD99" i="101" s="1"/>
  <c r="AD100" i="101" s="1"/>
  <c r="AD101" i="101" s="1"/>
  <c r="AD102" i="101" s="1"/>
  <c r="AD103" i="101" s="1"/>
  <c r="AD104" i="101" s="1"/>
  <c r="AD105" i="101" s="1"/>
  <c r="AD106" i="101" s="1"/>
  <c r="AF74" i="101"/>
  <c r="O72" i="101"/>
  <c r="Q70" i="101" s="1"/>
  <c r="S71" i="101"/>
  <c r="BY67" i="101"/>
  <c r="BY69" i="101" s="1"/>
  <c r="BY70" i="101" s="1"/>
  <c r="CT56" i="101"/>
  <c r="CS56" i="101"/>
  <c r="BZ55" i="101"/>
  <c r="BR53" i="101"/>
  <c r="C37" i="101"/>
  <c r="C38" i="101" s="1"/>
  <c r="BW35" i="101"/>
  <c r="BX32" i="101"/>
  <c r="CK28" i="101"/>
  <c r="CK29" i="101" s="1"/>
  <c r="CK30" i="101" s="1"/>
  <c r="CK31" i="101" s="1"/>
  <c r="CK32" i="101" s="1"/>
  <c r="CK33" i="101" s="1"/>
  <c r="CK34" i="101" s="1"/>
  <c r="CK35" i="101" s="1"/>
  <c r="CK36" i="101" s="1"/>
  <c r="CK37" i="101" s="1"/>
  <c r="CK38" i="101" s="1"/>
  <c r="CK39" i="101" s="1"/>
  <c r="CK40" i="101" s="1"/>
  <c r="CK41" i="101" s="1"/>
  <c r="CK42" i="101" s="1"/>
  <c r="CK43" i="101" s="1"/>
  <c r="CK44" i="101" s="1"/>
  <c r="CK45" i="101" s="1"/>
  <c r="CK46" i="101" s="1"/>
  <c r="CK47" i="101" s="1"/>
  <c r="CK48" i="101" s="1"/>
  <c r="CK49" i="101" s="1"/>
  <c r="CK50" i="101" s="1"/>
  <c r="CK51" i="101" s="1"/>
  <c r="CK52" i="101" s="1"/>
  <c r="CK53" i="101" s="1"/>
  <c r="CK54" i="101" s="1"/>
  <c r="CK55" i="101" s="1"/>
  <c r="N27" i="101"/>
  <c r="R27" i="101" s="1"/>
  <c r="V27" i="101" s="1"/>
  <c r="Z27" i="101" s="1"/>
  <c r="AD27" i="101" s="1"/>
  <c r="AH27" i="101" s="1"/>
  <c r="AL27" i="101" s="1"/>
  <c r="AP27" i="101" s="1"/>
  <c r="AT27" i="101" s="1"/>
  <c r="L27" i="101"/>
  <c r="P27" i="101" s="1"/>
  <c r="T27" i="101" s="1"/>
  <c r="X27" i="101" s="1"/>
  <c r="AB27" i="101" s="1"/>
  <c r="CY26" i="101"/>
  <c r="CY27" i="101" s="1"/>
  <c r="CY28" i="101" s="1"/>
  <c r="CY29" i="101" s="1"/>
  <c r="CY30" i="101" s="1"/>
  <c r="CY31" i="101" s="1"/>
  <c r="CY32" i="101" s="1"/>
  <c r="CY33" i="101" s="1"/>
  <c r="CY34" i="101" s="1"/>
  <c r="CY35" i="101" s="1"/>
  <c r="CY36" i="101" s="1"/>
  <c r="CY37" i="101" s="1"/>
  <c r="CY38" i="101" s="1"/>
  <c r="CY39" i="101" s="1"/>
  <c r="CY40" i="101" s="1"/>
  <c r="CY41" i="101" s="1"/>
  <c r="CY42" i="101" s="1"/>
  <c r="CY43" i="101" s="1"/>
  <c r="CY44" i="101" s="1"/>
  <c r="CY45" i="101" s="1"/>
  <c r="CY46" i="101" s="1"/>
  <c r="CY47" i="101" s="1"/>
  <c r="CY48" i="101" s="1"/>
  <c r="CY49" i="101" s="1"/>
  <c r="CY50" i="101" s="1"/>
  <c r="CY51" i="101" s="1"/>
  <c r="CY52" i="101" s="1"/>
  <c r="CY53" i="101" s="1"/>
  <c r="CY54" i="101" s="1"/>
  <c r="CY55" i="101" s="1"/>
  <c r="N25" i="101"/>
  <c r="R25" i="101" s="1"/>
  <c r="V25" i="101" s="1"/>
  <c r="Z25" i="101" s="1"/>
  <c r="AD25" i="101" s="1"/>
  <c r="L25" i="101"/>
  <c r="P25" i="101" s="1"/>
  <c r="T25" i="101" s="1"/>
  <c r="X25" i="101" s="1"/>
  <c r="AB25" i="101" s="1"/>
  <c r="DC24" i="101"/>
  <c r="DC25" i="101" s="1"/>
  <c r="DC26" i="101" s="1"/>
  <c r="DC27" i="101" s="1"/>
  <c r="DC28" i="101" s="1"/>
  <c r="DC29" i="101" s="1"/>
  <c r="DC30" i="101" s="1"/>
  <c r="DC31" i="101" s="1"/>
  <c r="DC32" i="101" s="1"/>
  <c r="DC33" i="101" s="1"/>
  <c r="DC34" i="101" s="1"/>
  <c r="DC35" i="101" s="1"/>
  <c r="DC36" i="101" s="1"/>
  <c r="DC37" i="101" s="1"/>
  <c r="DC38" i="101" s="1"/>
  <c r="DC39" i="101" s="1"/>
  <c r="DC40" i="101" s="1"/>
  <c r="DC41" i="101" s="1"/>
  <c r="DC42" i="101" s="1"/>
  <c r="DC43" i="101" s="1"/>
  <c r="DC44" i="101" s="1"/>
  <c r="DC45" i="101" s="1"/>
  <c r="DC46" i="101" s="1"/>
  <c r="DC47" i="101" s="1"/>
  <c r="DC48" i="101" s="1"/>
  <c r="DC49" i="101" s="1"/>
  <c r="DC50" i="101" s="1"/>
  <c r="DC51" i="101" s="1"/>
  <c r="DC52" i="101" s="1"/>
  <c r="DC53" i="101" s="1"/>
  <c r="DC54" i="101" s="1"/>
  <c r="DC55" i="101" s="1"/>
  <c r="CO24" i="101"/>
  <c r="CO25" i="101" s="1"/>
  <c r="CO26" i="101" s="1"/>
  <c r="CO27" i="101" s="1"/>
  <c r="CO28" i="101" s="1"/>
  <c r="CO29" i="101" s="1"/>
  <c r="CO30" i="101" s="1"/>
  <c r="CO31" i="101" s="1"/>
  <c r="CO32" i="101" s="1"/>
  <c r="CO33" i="101" s="1"/>
  <c r="CO34" i="101" s="1"/>
  <c r="CO35" i="101" s="1"/>
  <c r="CO36" i="101" s="1"/>
  <c r="CO37" i="101" s="1"/>
  <c r="CO38" i="101" s="1"/>
  <c r="CO39" i="101" s="1"/>
  <c r="CO40" i="101" s="1"/>
  <c r="CO41" i="101" s="1"/>
  <c r="CO42" i="101" s="1"/>
  <c r="CO43" i="101" s="1"/>
  <c r="CO44" i="101" s="1"/>
  <c r="CO45" i="101" s="1"/>
  <c r="CO46" i="101" s="1"/>
  <c r="CO47" i="101" s="1"/>
  <c r="CO48" i="101" s="1"/>
  <c r="CO49" i="101" s="1"/>
  <c r="CO50" i="101" s="1"/>
  <c r="CO51" i="101" s="1"/>
  <c r="CO52" i="101" s="1"/>
  <c r="CO53" i="101" s="1"/>
  <c r="CO54" i="101" s="1"/>
  <c r="CO55" i="101" s="1"/>
  <c r="CK24" i="101"/>
  <c r="CK25" i="101" s="1"/>
  <c r="CK26" i="101" s="1"/>
  <c r="CK27" i="101" s="1"/>
  <c r="CI24" i="101"/>
  <c r="CI25" i="101" s="1"/>
  <c r="CI26" i="101" s="1"/>
  <c r="CI27" i="101" s="1"/>
  <c r="CI28" i="101" s="1"/>
  <c r="CI29" i="101" s="1"/>
  <c r="CI30" i="101" s="1"/>
  <c r="CI31" i="101" s="1"/>
  <c r="CI32" i="101" s="1"/>
  <c r="CI33" i="101" s="1"/>
  <c r="CI34" i="101" s="1"/>
  <c r="CI35" i="101" s="1"/>
  <c r="CI36" i="101" s="1"/>
  <c r="CI37" i="101" s="1"/>
  <c r="CI38" i="101" s="1"/>
  <c r="CI39" i="101" s="1"/>
  <c r="CI40" i="101" s="1"/>
  <c r="CI41" i="101" s="1"/>
  <c r="CI42" i="101" s="1"/>
  <c r="CI43" i="101" s="1"/>
  <c r="CI44" i="101" s="1"/>
  <c r="CI45" i="101" s="1"/>
  <c r="CI46" i="101" s="1"/>
  <c r="CI47" i="101" s="1"/>
  <c r="CI48" i="101" s="1"/>
  <c r="CI49" i="101" s="1"/>
  <c r="CI50" i="101" s="1"/>
  <c r="CI51" i="101" s="1"/>
  <c r="CI52" i="101" s="1"/>
  <c r="CI53" i="101" s="1"/>
  <c r="CI54" i="101" s="1"/>
  <c r="CI55" i="101" s="1"/>
  <c r="CL23" i="101"/>
  <c r="CJ24" i="101" s="1"/>
  <c r="N23" i="101"/>
  <c r="R23" i="101" s="1"/>
  <c r="V23" i="101" s="1"/>
  <c r="Z23" i="101" s="1"/>
  <c r="AD23" i="101" s="1"/>
  <c r="L23" i="101"/>
  <c r="P23" i="101" s="1"/>
  <c r="T23" i="101" s="1"/>
  <c r="X23" i="101" s="1"/>
  <c r="AB23" i="101" s="1"/>
  <c r="N21" i="101"/>
  <c r="R21" i="101" s="1"/>
  <c r="V21" i="101" s="1"/>
  <c r="Z21" i="101" s="1"/>
  <c r="AD21" i="101" s="1"/>
  <c r="L21" i="101"/>
  <c r="P21" i="101" s="1"/>
  <c r="T21" i="101" s="1"/>
  <c r="X21" i="101" s="1"/>
  <c r="AB21" i="101" s="1"/>
  <c r="AF21" i="101" s="1"/>
  <c r="AJ21" i="101" s="1"/>
  <c r="AN21" i="101" s="1"/>
  <c r="AR21" i="101" s="1"/>
  <c r="V17" i="101"/>
  <c r="Z17" i="101" s="1"/>
  <c r="AD17" i="101" s="1"/>
  <c r="AH17" i="101" s="1"/>
  <c r="AL17" i="101" s="1"/>
  <c r="AP17" i="101" s="1"/>
  <c r="AT17" i="101" s="1"/>
  <c r="N17" i="101"/>
  <c r="R17" i="101" s="1"/>
  <c r="L17" i="101"/>
  <c r="P17" i="101" s="1"/>
  <c r="T17" i="101" s="1"/>
  <c r="X17" i="101" s="1"/>
  <c r="AB17" i="101" s="1"/>
  <c r="D17" i="101"/>
  <c r="D23" i="101" s="1"/>
  <c r="N14" i="101"/>
  <c r="R14" i="101" s="1"/>
  <c r="V14" i="101" s="1"/>
  <c r="Z14" i="101" s="1"/>
  <c r="AD14" i="101" s="1"/>
  <c r="L14" i="101"/>
  <c r="P14" i="101" s="1"/>
  <c r="T14" i="101" s="1"/>
  <c r="X14" i="101" s="1"/>
  <c r="AB14" i="101" s="1"/>
  <c r="BL14" i="101" s="1"/>
  <c r="BP14" i="101" s="1"/>
  <c r="BV14" i="101" s="1"/>
  <c r="N12" i="101"/>
  <c r="R12" i="101" s="1"/>
  <c r="V12" i="101" s="1"/>
  <c r="Z12" i="101" s="1"/>
  <c r="AD12" i="101" s="1"/>
  <c r="L12" i="101"/>
  <c r="P12" i="101" s="1"/>
  <c r="T12" i="101" s="1"/>
  <c r="X12" i="101" s="1"/>
  <c r="AB12" i="101" s="1"/>
  <c r="N10" i="101"/>
  <c r="R10" i="101" s="1"/>
  <c r="V10" i="101" s="1"/>
  <c r="Z10" i="101" s="1"/>
  <c r="AD10" i="101" s="1"/>
  <c r="L10" i="101"/>
  <c r="P10" i="101" s="1"/>
  <c r="T10" i="101" s="1"/>
  <c r="X10" i="101" s="1"/>
  <c r="AB10" i="101" s="1"/>
  <c r="AF10" i="101" s="1"/>
  <c r="AJ10" i="101" s="1"/>
  <c r="AN10" i="101" s="1"/>
  <c r="AR10" i="101" s="1"/>
  <c r="E10" i="101"/>
  <c r="E12" i="101" s="1"/>
  <c r="E13" i="101" s="1"/>
  <c r="N5" i="101"/>
  <c r="R5" i="101" s="1"/>
  <c r="V5" i="101" s="1"/>
  <c r="Z5" i="101" s="1"/>
  <c r="AD5" i="101" s="1"/>
  <c r="L5" i="101"/>
  <c r="P5" i="101" s="1"/>
  <c r="T5" i="101" s="1"/>
  <c r="X5" i="101" s="1"/>
  <c r="AB5" i="101" s="1"/>
  <c r="AD75" i="100"/>
  <c r="AD76" i="100" s="1"/>
  <c r="AD77" i="100" s="1"/>
  <c r="AD78" i="100" s="1"/>
  <c r="AD79" i="100" s="1"/>
  <c r="AD80" i="100" s="1"/>
  <c r="AD81" i="100" s="1"/>
  <c r="AD82" i="100" s="1"/>
  <c r="AD83" i="100" s="1"/>
  <c r="AD84" i="100" s="1"/>
  <c r="AD85" i="100" s="1"/>
  <c r="AD86" i="100" s="1"/>
  <c r="AD87" i="100" s="1"/>
  <c r="AD88" i="100" s="1"/>
  <c r="AD89" i="100" s="1"/>
  <c r="AD90" i="100" s="1"/>
  <c r="AD91" i="100" s="1"/>
  <c r="AD92" i="100" s="1"/>
  <c r="AD93" i="100" s="1"/>
  <c r="AD94" i="100" s="1"/>
  <c r="AD95" i="100" s="1"/>
  <c r="AD96" i="100" s="1"/>
  <c r="AD97" i="100" s="1"/>
  <c r="AD98" i="100" s="1"/>
  <c r="AD99" i="100" s="1"/>
  <c r="AD100" i="100" s="1"/>
  <c r="AD101" i="100" s="1"/>
  <c r="AD102" i="100" s="1"/>
  <c r="AD103" i="100" s="1"/>
  <c r="AD104" i="100" s="1"/>
  <c r="AD105" i="100" s="1"/>
  <c r="AD106" i="100" s="1"/>
  <c r="AF74" i="100"/>
  <c r="O72" i="100"/>
  <c r="Q70" i="100" s="1"/>
  <c r="S71" i="100"/>
  <c r="BY67" i="100"/>
  <c r="BY69" i="100" s="1"/>
  <c r="BY70" i="100" s="1"/>
  <c r="CT56" i="100"/>
  <c r="CS56" i="100"/>
  <c r="BZ55" i="100"/>
  <c r="BR53" i="100"/>
  <c r="C37" i="100"/>
  <c r="BW35" i="100"/>
  <c r="BX32" i="100"/>
  <c r="N27" i="100"/>
  <c r="R27" i="100" s="1"/>
  <c r="V27" i="100" s="1"/>
  <c r="Z27" i="100" s="1"/>
  <c r="AD27" i="100" s="1"/>
  <c r="L27" i="100"/>
  <c r="P27" i="100" s="1"/>
  <c r="T27" i="100" s="1"/>
  <c r="X27" i="100" s="1"/>
  <c r="AB27" i="100" s="1"/>
  <c r="BL27" i="100" s="1"/>
  <c r="BP27" i="100" s="1"/>
  <c r="BV27" i="100" s="1"/>
  <c r="CY26" i="100"/>
  <c r="CY27" i="100" s="1"/>
  <c r="CY28" i="100" s="1"/>
  <c r="CY29" i="100" s="1"/>
  <c r="CY30" i="100" s="1"/>
  <c r="CY31" i="100" s="1"/>
  <c r="CY32" i="100" s="1"/>
  <c r="CY33" i="100" s="1"/>
  <c r="CY34" i="100" s="1"/>
  <c r="CY35" i="100" s="1"/>
  <c r="CY36" i="100" s="1"/>
  <c r="CY37" i="100" s="1"/>
  <c r="CY38" i="100" s="1"/>
  <c r="CY39" i="100" s="1"/>
  <c r="CY40" i="100" s="1"/>
  <c r="CY41" i="100" s="1"/>
  <c r="CY42" i="100" s="1"/>
  <c r="CY43" i="100" s="1"/>
  <c r="CY44" i="100" s="1"/>
  <c r="CY45" i="100" s="1"/>
  <c r="CY46" i="100" s="1"/>
  <c r="CY47" i="100" s="1"/>
  <c r="CY48" i="100" s="1"/>
  <c r="CY49" i="100" s="1"/>
  <c r="CY50" i="100" s="1"/>
  <c r="CY51" i="100" s="1"/>
  <c r="CY52" i="100" s="1"/>
  <c r="CY53" i="100" s="1"/>
  <c r="CY54" i="100" s="1"/>
  <c r="CY55" i="100" s="1"/>
  <c r="N25" i="100"/>
  <c r="R25" i="100" s="1"/>
  <c r="V25" i="100" s="1"/>
  <c r="Z25" i="100" s="1"/>
  <c r="AD25" i="100" s="1"/>
  <c r="L25" i="100"/>
  <c r="P25" i="100" s="1"/>
  <c r="T25" i="100" s="1"/>
  <c r="X25" i="100" s="1"/>
  <c r="AB25" i="100" s="1"/>
  <c r="DC24" i="100"/>
  <c r="DC25" i="100" s="1"/>
  <c r="DC26" i="100" s="1"/>
  <c r="DC27" i="100" s="1"/>
  <c r="DC28" i="100" s="1"/>
  <c r="DC29" i="100" s="1"/>
  <c r="DC30" i="100" s="1"/>
  <c r="DC31" i="100" s="1"/>
  <c r="DC32" i="100" s="1"/>
  <c r="DC33" i="100" s="1"/>
  <c r="DC34" i="100" s="1"/>
  <c r="DC35" i="100" s="1"/>
  <c r="DC36" i="100" s="1"/>
  <c r="DC37" i="100" s="1"/>
  <c r="DC38" i="100" s="1"/>
  <c r="DC39" i="100" s="1"/>
  <c r="DC40" i="100" s="1"/>
  <c r="DC41" i="100" s="1"/>
  <c r="DC42" i="100" s="1"/>
  <c r="DC43" i="100" s="1"/>
  <c r="DC44" i="100" s="1"/>
  <c r="DC45" i="100" s="1"/>
  <c r="DC46" i="100" s="1"/>
  <c r="DC47" i="100" s="1"/>
  <c r="DC48" i="100" s="1"/>
  <c r="DC49" i="100" s="1"/>
  <c r="DC50" i="100" s="1"/>
  <c r="DC51" i="100" s="1"/>
  <c r="DC52" i="100" s="1"/>
  <c r="DC53" i="100" s="1"/>
  <c r="DC54" i="100" s="1"/>
  <c r="DC55" i="100" s="1"/>
  <c r="CO24" i="100"/>
  <c r="CO25" i="100" s="1"/>
  <c r="CO26" i="100" s="1"/>
  <c r="CO27" i="100" s="1"/>
  <c r="CO28" i="100" s="1"/>
  <c r="CO29" i="100" s="1"/>
  <c r="CO30" i="100" s="1"/>
  <c r="CO31" i="100" s="1"/>
  <c r="CO32" i="100" s="1"/>
  <c r="CO33" i="100" s="1"/>
  <c r="CO34" i="100" s="1"/>
  <c r="CO35" i="100" s="1"/>
  <c r="CO36" i="100" s="1"/>
  <c r="CO37" i="100" s="1"/>
  <c r="CO38" i="100" s="1"/>
  <c r="CO39" i="100" s="1"/>
  <c r="CO40" i="100" s="1"/>
  <c r="CO41" i="100" s="1"/>
  <c r="CO42" i="100" s="1"/>
  <c r="CO43" i="100" s="1"/>
  <c r="CO44" i="100" s="1"/>
  <c r="CO45" i="100" s="1"/>
  <c r="CO46" i="100" s="1"/>
  <c r="CO47" i="100" s="1"/>
  <c r="CO48" i="100" s="1"/>
  <c r="CO49" i="100" s="1"/>
  <c r="CO50" i="100" s="1"/>
  <c r="CO51" i="100" s="1"/>
  <c r="CO52" i="100" s="1"/>
  <c r="CO53" i="100" s="1"/>
  <c r="CO54" i="100" s="1"/>
  <c r="CO55" i="100" s="1"/>
  <c r="CK24" i="100"/>
  <c r="CK25" i="100" s="1"/>
  <c r="CK26" i="100" s="1"/>
  <c r="CK27" i="100" s="1"/>
  <c r="CK28" i="100" s="1"/>
  <c r="CK29" i="100" s="1"/>
  <c r="CK30" i="100" s="1"/>
  <c r="CK31" i="100" s="1"/>
  <c r="CK32" i="100" s="1"/>
  <c r="CK33" i="100" s="1"/>
  <c r="CK34" i="100" s="1"/>
  <c r="CK35" i="100" s="1"/>
  <c r="CK36" i="100" s="1"/>
  <c r="CK37" i="100" s="1"/>
  <c r="CK38" i="100" s="1"/>
  <c r="CK39" i="100" s="1"/>
  <c r="CK40" i="100" s="1"/>
  <c r="CK41" i="100" s="1"/>
  <c r="CK42" i="100" s="1"/>
  <c r="CK43" i="100" s="1"/>
  <c r="CK44" i="100" s="1"/>
  <c r="CK45" i="100" s="1"/>
  <c r="CK46" i="100" s="1"/>
  <c r="CK47" i="100" s="1"/>
  <c r="CK48" i="100" s="1"/>
  <c r="CK49" i="100" s="1"/>
  <c r="CK50" i="100" s="1"/>
  <c r="CK51" i="100" s="1"/>
  <c r="CK52" i="100" s="1"/>
  <c r="CK53" i="100" s="1"/>
  <c r="CK54" i="100" s="1"/>
  <c r="CK55" i="100" s="1"/>
  <c r="CI24" i="100"/>
  <c r="CI25" i="100" s="1"/>
  <c r="CI26" i="100" s="1"/>
  <c r="CI27" i="100" s="1"/>
  <c r="CI28" i="100" s="1"/>
  <c r="CI29" i="100" s="1"/>
  <c r="CI30" i="100" s="1"/>
  <c r="CI31" i="100" s="1"/>
  <c r="CI32" i="100" s="1"/>
  <c r="CI33" i="100" s="1"/>
  <c r="CI34" i="100" s="1"/>
  <c r="CI35" i="100" s="1"/>
  <c r="CI36" i="100" s="1"/>
  <c r="CI37" i="100" s="1"/>
  <c r="CI38" i="100" s="1"/>
  <c r="CI39" i="100" s="1"/>
  <c r="CI40" i="100" s="1"/>
  <c r="CI41" i="100" s="1"/>
  <c r="CI42" i="100" s="1"/>
  <c r="CI43" i="100" s="1"/>
  <c r="CI44" i="100" s="1"/>
  <c r="CI45" i="100" s="1"/>
  <c r="CI46" i="100" s="1"/>
  <c r="CI47" i="100" s="1"/>
  <c r="CI48" i="100" s="1"/>
  <c r="CI49" i="100" s="1"/>
  <c r="CI50" i="100" s="1"/>
  <c r="CI51" i="100" s="1"/>
  <c r="CI52" i="100" s="1"/>
  <c r="CI53" i="100" s="1"/>
  <c r="CI54" i="100" s="1"/>
  <c r="CI55" i="100" s="1"/>
  <c r="CL23" i="100"/>
  <c r="CJ24" i="100" s="1"/>
  <c r="BN23" i="100"/>
  <c r="BR23" i="100" s="1"/>
  <c r="AH23" i="100"/>
  <c r="AL23" i="100" s="1"/>
  <c r="AP23" i="100" s="1"/>
  <c r="AT23" i="100" s="1"/>
  <c r="R23" i="100"/>
  <c r="V23" i="100" s="1"/>
  <c r="Z23" i="100" s="1"/>
  <c r="AD23" i="100" s="1"/>
  <c r="N23" i="100"/>
  <c r="L23" i="100"/>
  <c r="P23" i="100" s="1"/>
  <c r="T23" i="100" s="1"/>
  <c r="X23" i="100" s="1"/>
  <c r="AB23" i="100" s="1"/>
  <c r="V21" i="100"/>
  <c r="Z21" i="100" s="1"/>
  <c r="AD21" i="100" s="1"/>
  <c r="N21" i="100"/>
  <c r="R21" i="100" s="1"/>
  <c r="L21" i="100"/>
  <c r="P21" i="100" s="1"/>
  <c r="T21" i="100" s="1"/>
  <c r="X21" i="100" s="1"/>
  <c r="AB21" i="100" s="1"/>
  <c r="AB17" i="100"/>
  <c r="N17" i="100"/>
  <c r="R17" i="100" s="1"/>
  <c r="V17" i="100" s="1"/>
  <c r="Z17" i="100" s="1"/>
  <c r="AD17" i="100" s="1"/>
  <c r="L17" i="100"/>
  <c r="P17" i="100" s="1"/>
  <c r="T17" i="100" s="1"/>
  <c r="X17" i="100" s="1"/>
  <c r="D17" i="100"/>
  <c r="D23" i="100" s="1"/>
  <c r="P14" i="100"/>
  <c r="T14" i="100" s="1"/>
  <c r="X14" i="100" s="1"/>
  <c r="AB14" i="100" s="1"/>
  <c r="N14" i="100"/>
  <c r="R14" i="100" s="1"/>
  <c r="V14" i="100" s="1"/>
  <c r="Z14" i="100" s="1"/>
  <c r="AD14" i="100" s="1"/>
  <c r="L14" i="100"/>
  <c r="BN12" i="100"/>
  <c r="BR12" i="100" s="1"/>
  <c r="BJ12" i="100"/>
  <c r="AX12" i="100"/>
  <c r="BB12" i="100" s="1"/>
  <c r="N12" i="100"/>
  <c r="R12" i="100" s="1"/>
  <c r="V12" i="100" s="1"/>
  <c r="Z12" i="100" s="1"/>
  <c r="AD12" i="100" s="1"/>
  <c r="AH12" i="100" s="1"/>
  <c r="AL12" i="100" s="1"/>
  <c r="AP12" i="100" s="1"/>
  <c r="AT12" i="100" s="1"/>
  <c r="BF12" i="100" s="1"/>
  <c r="L12" i="100"/>
  <c r="P12" i="100" s="1"/>
  <c r="T12" i="100" s="1"/>
  <c r="X12" i="100" s="1"/>
  <c r="AB12" i="100" s="1"/>
  <c r="BL10" i="100"/>
  <c r="BP10" i="100" s="1"/>
  <c r="BV10" i="100" s="1"/>
  <c r="AF10" i="100"/>
  <c r="AJ10" i="100" s="1"/>
  <c r="AN10" i="100" s="1"/>
  <c r="AR10" i="100" s="1"/>
  <c r="N10" i="100"/>
  <c r="R10" i="100" s="1"/>
  <c r="V10" i="100" s="1"/>
  <c r="Z10" i="100" s="1"/>
  <c r="AD10" i="100" s="1"/>
  <c r="L10" i="100"/>
  <c r="P10" i="100" s="1"/>
  <c r="T10" i="100" s="1"/>
  <c r="X10" i="100" s="1"/>
  <c r="AB10" i="100" s="1"/>
  <c r="E10" i="100"/>
  <c r="E12" i="100" s="1"/>
  <c r="E13" i="100" s="1"/>
  <c r="N5" i="100"/>
  <c r="R5" i="100" s="1"/>
  <c r="V5" i="100" s="1"/>
  <c r="Z5" i="100" s="1"/>
  <c r="AD5" i="100" s="1"/>
  <c r="L5" i="100"/>
  <c r="P5" i="100" s="1"/>
  <c r="T5" i="100" s="1"/>
  <c r="X5" i="100" s="1"/>
  <c r="AB5" i="100" s="1"/>
  <c r="AF75" i="98"/>
  <c r="AF76" i="98" s="1"/>
  <c r="AF77" i="98" s="1"/>
  <c r="AF78" i="98" s="1"/>
  <c r="AF79" i="98" s="1"/>
  <c r="AF80" i="98" s="1"/>
  <c r="AF81" i="98" s="1"/>
  <c r="AF82" i="98" s="1"/>
  <c r="AF83" i="98" s="1"/>
  <c r="AF84" i="98" s="1"/>
  <c r="AF85" i="98" s="1"/>
  <c r="AF86" i="98" s="1"/>
  <c r="AF87" i="98" s="1"/>
  <c r="AF88" i="98" s="1"/>
  <c r="AF89" i="98" s="1"/>
  <c r="AF90" i="98" s="1"/>
  <c r="AF91" i="98" s="1"/>
  <c r="AF92" i="98" s="1"/>
  <c r="AF93" i="98" s="1"/>
  <c r="AF94" i="98" s="1"/>
  <c r="AF95" i="98" s="1"/>
  <c r="AF96" i="98" s="1"/>
  <c r="AF97" i="98" s="1"/>
  <c r="AF98" i="98" s="1"/>
  <c r="AF99" i="98" s="1"/>
  <c r="AF100" i="98" s="1"/>
  <c r="AF101" i="98" s="1"/>
  <c r="AF102" i="98" s="1"/>
  <c r="AF103" i="98" s="1"/>
  <c r="AF104" i="98" s="1"/>
  <c r="AF105" i="98" s="1"/>
  <c r="AF106" i="98" s="1"/>
  <c r="AD75" i="98"/>
  <c r="AD76" i="98" s="1"/>
  <c r="AD77" i="98" s="1"/>
  <c r="AD78" i="98" s="1"/>
  <c r="AD79" i="98" s="1"/>
  <c r="AD80" i="98" s="1"/>
  <c r="AD81" i="98" s="1"/>
  <c r="AD82" i="98" s="1"/>
  <c r="AD83" i="98" s="1"/>
  <c r="AD84" i="98" s="1"/>
  <c r="AD85" i="98" s="1"/>
  <c r="AD86" i="98" s="1"/>
  <c r="AD87" i="98" s="1"/>
  <c r="AD88" i="98" s="1"/>
  <c r="AD89" i="98" s="1"/>
  <c r="AD90" i="98" s="1"/>
  <c r="AD91" i="98" s="1"/>
  <c r="AD92" i="98" s="1"/>
  <c r="AD93" i="98" s="1"/>
  <c r="AD94" i="98" s="1"/>
  <c r="AD95" i="98" s="1"/>
  <c r="AD96" i="98" s="1"/>
  <c r="AD97" i="98" s="1"/>
  <c r="AD98" i="98" s="1"/>
  <c r="AD99" i="98" s="1"/>
  <c r="AD100" i="98" s="1"/>
  <c r="AD101" i="98" s="1"/>
  <c r="AD102" i="98" s="1"/>
  <c r="AD103" i="98" s="1"/>
  <c r="AD104" i="98" s="1"/>
  <c r="AD105" i="98" s="1"/>
  <c r="AD106" i="98" s="1"/>
  <c r="AF74" i="98"/>
  <c r="AG74" i="98" s="1"/>
  <c r="AE75" i="98" s="1"/>
  <c r="O72" i="98"/>
  <c r="Q70" i="98" s="1"/>
  <c r="S71" i="98"/>
  <c r="BY70" i="98"/>
  <c r="BY67" i="98"/>
  <c r="BY69" i="98" s="1"/>
  <c r="CT56" i="98"/>
  <c r="CS56" i="98"/>
  <c r="BZ55" i="98"/>
  <c r="BR53" i="98"/>
  <c r="C37" i="98"/>
  <c r="C38" i="98" s="1"/>
  <c r="BW35" i="98"/>
  <c r="BX32" i="98"/>
  <c r="N27" i="98"/>
  <c r="R27" i="98" s="1"/>
  <c r="V27" i="98" s="1"/>
  <c r="Z27" i="98" s="1"/>
  <c r="AD27" i="98" s="1"/>
  <c r="BN27" i="98" s="1"/>
  <c r="BR27" i="98" s="1"/>
  <c r="L27" i="98"/>
  <c r="P27" i="98" s="1"/>
  <c r="T27" i="98" s="1"/>
  <c r="X27" i="98" s="1"/>
  <c r="AB27" i="98" s="1"/>
  <c r="CY26" i="98"/>
  <c r="CY27" i="98" s="1"/>
  <c r="CY28" i="98" s="1"/>
  <c r="CY29" i="98" s="1"/>
  <c r="CY30" i="98" s="1"/>
  <c r="CY31" i="98" s="1"/>
  <c r="CY32" i="98" s="1"/>
  <c r="CY33" i="98" s="1"/>
  <c r="CY34" i="98" s="1"/>
  <c r="CY35" i="98" s="1"/>
  <c r="CY36" i="98" s="1"/>
  <c r="CY37" i="98" s="1"/>
  <c r="CY38" i="98" s="1"/>
  <c r="CY39" i="98" s="1"/>
  <c r="CY40" i="98" s="1"/>
  <c r="CY41" i="98" s="1"/>
  <c r="CY42" i="98" s="1"/>
  <c r="CY43" i="98" s="1"/>
  <c r="CY44" i="98" s="1"/>
  <c r="CY45" i="98" s="1"/>
  <c r="CY46" i="98" s="1"/>
  <c r="CY47" i="98" s="1"/>
  <c r="CY48" i="98" s="1"/>
  <c r="CY49" i="98" s="1"/>
  <c r="CY50" i="98" s="1"/>
  <c r="CY51" i="98" s="1"/>
  <c r="CY52" i="98" s="1"/>
  <c r="CY53" i="98" s="1"/>
  <c r="CY54" i="98" s="1"/>
  <c r="CY55" i="98" s="1"/>
  <c r="CI25" i="98"/>
  <c r="CI26" i="98" s="1"/>
  <c r="CI27" i="98" s="1"/>
  <c r="CI28" i="98" s="1"/>
  <c r="CI29" i="98" s="1"/>
  <c r="CI30" i="98" s="1"/>
  <c r="CI31" i="98" s="1"/>
  <c r="CI32" i="98" s="1"/>
  <c r="CI33" i="98" s="1"/>
  <c r="CI34" i="98" s="1"/>
  <c r="CI35" i="98" s="1"/>
  <c r="CI36" i="98" s="1"/>
  <c r="CI37" i="98" s="1"/>
  <c r="CI38" i="98" s="1"/>
  <c r="CI39" i="98" s="1"/>
  <c r="CI40" i="98" s="1"/>
  <c r="CI41" i="98" s="1"/>
  <c r="CI42" i="98" s="1"/>
  <c r="CI43" i="98" s="1"/>
  <c r="CI44" i="98" s="1"/>
  <c r="CI45" i="98" s="1"/>
  <c r="CI46" i="98" s="1"/>
  <c r="CI47" i="98" s="1"/>
  <c r="CI48" i="98" s="1"/>
  <c r="CI49" i="98" s="1"/>
  <c r="CI50" i="98" s="1"/>
  <c r="CI51" i="98" s="1"/>
  <c r="CI52" i="98" s="1"/>
  <c r="CI53" i="98" s="1"/>
  <c r="CI54" i="98" s="1"/>
  <c r="CI55" i="98" s="1"/>
  <c r="N25" i="98"/>
  <c r="R25" i="98" s="1"/>
  <c r="V25" i="98" s="1"/>
  <c r="Z25" i="98" s="1"/>
  <c r="AD25" i="98" s="1"/>
  <c r="L25" i="98"/>
  <c r="P25" i="98" s="1"/>
  <c r="T25" i="98" s="1"/>
  <c r="X25" i="98" s="1"/>
  <c r="AB25" i="98" s="1"/>
  <c r="DC24" i="98"/>
  <c r="DC25" i="98" s="1"/>
  <c r="DC26" i="98" s="1"/>
  <c r="DC27" i="98" s="1"/>
  <c r="DC28" i="98" s="1"/>
  <c r="DC29" i="98" s="1"/>
  <c r="DC30" i="98" s="1"/>
  <c r="DC31" i="98" s="1"/>
  <c r="DC32" i="98" s="1"/>
  <c r="DC33" i="98" s="1"/>
  <c r="DC34" i="98" s="1"/>
  <c r="DC35" i="98" s="1"/>
  <c r="DC36" i="98" s="1"/>
  <c r="DC37" i="98" s="1"/>
  <c r="DC38" i="98" s="1"/>
  <c r="DC39" i="98" s="1"/>
  <c r="DC40" i="98" s="1"/>
  <c r="DC41" i="98" s="1"/>
  <c r="DC42" i="98" s="1"/>
  <c r="DC43" i="98" s="1"/>
  <c r="DC44" i="98" s="1"/>
  <c r="DC45" i="98" s="1"/>
  <c r="DC46" i="98" s="1"/>
  <c r="DC47" i="98" s="1"/>
  <c r="DC48" i="98" s="1"/>
  <c r="DC49" i="98" s="1"/>
  <c r="DC50" i="98" s="1"/>
  <c r="DC51" i="98" s="1"/>
  <c r="DC52" i="98" s="1"/>
  <c r="DC53" i="98" s="1"/>
  <c r="DC54" i="98" s="1"/>
  <c r="DC55" i="98" s="1"/>
  <c r="CO24" i="98"/>
  <c r="CO25" i="98" s="1"/>
  <c r="CO26" i="98" s="1"/>
  <c r="CO27" i="98" s="1"/>
  <c r="CO28" i="98" s="1"/>
  <c r="CO29" i="98" s="1"/>
  <c r="CO30" i="98" s="1"/>
  <c r="CO31" i="98" s="1"/>
  <c r="CO32" i="98" s="1"/>
  <c r="CO33" i="98" s="1"/>
  <c r="CO34" i="98" s="1"/>
  <c r="CO35" i="98" s="1"/>
  <c r="CO36" i="98" s="1"/>
  <c r="CO37" i="98" s="1"/>
  <c r="CO38" i="98" s="1"/>
  <c r="CO39" i="98" s="1"/>
  <c r="CO40" i="98" s="1"/>
  <c r="CO41" i="98" s="1"/>
  <c r="CO42" i="98" s="1"/>
  <c r="CO43" i="98" s="1"/>
  <c r="CO44" i="98" s="1"/>
  <c r="CO45" i="98" s="1"/>
  <c r="CO46" i="98" s="1"/>
  <c r="CO47" i="98" s="1"/>
  <c r="CO48" i="98" s="1"/>
  <c r="CO49" i="98" s="1"/>
  <c r="CO50" i="98" s="1"/>
  <c r="CO51" i="98" s="1"/>
  <c r="CO52" i="98" s="1"/>
  <c r="CO53" i="98" s="1"/>
  <c r="CO54" i="98" s="1"/>
  <c r="CO55" i="98" s="1"/>
  <c r="CK24" i="98"/>
  <c r="CK25" i="98" s="1"/>
  <c r="CK26" i="98" s="1"/>
  <c r="CK27" i="98" s="1"/>
  <c r="CK28" i="98" s="1"/>
  <c r="CK29" i="98" s="1"/>
  <c r="CK30" i="98" s="1"/>
  <c r="CK31" i="98" s="1"/>
  <c r="CK32" i="98" s="1"/>
  <c r="CK33" i="98" s="1"/>
  <c r="CK34" i="98" s="1"/>
  <c r="CK35" i="98" s="1"/>
  <c r="CK36" i="98" s="1"/>
  <c r="CK37" i="98" s="1"/>
  <c r="CK38" i="98" s="1"/>
  <c r="CK39" i="98" s="1"/>
  <c r="CK40" i="98" s="1"/>
  <c r="CK41" i="98" s="1"/>
  <c r="CK42" i="98" s="1"/>
  <c r="CK43" i="98" s="1"/>
  <c r="CK44" i="98" s="1"/>
  <c r="CK45" i="98" s="1"/>
  <c r="CK46" i="98" s="1"/>
  <c r="CK47" i="98" s="1"/>
  <c r="CK48" i="98" s="1"/>
  <c r="CK49" i="98" s="1"/>
  <c r="CK50" i="98" s="1"/>
  <c r="CK51" i="98" s="1"/>
  <c r="CK52" i="98" s="1"/>
  <c r="CK53" i="98" s="1"/>
  <c r="CK54" i="98" s="1"/>
  <c r="CK55" i="98" s="1"/>
  <c r="CI24" i="98"/>
  <c r="CL23" i="98"/>
  <c r="CJ24" i="98" s="1"/>
  <c r="N23" i="98"/>
  <c r="R23" i="98" s="1"/>
  <c r="V23" i="98" s="1"/>
  <c r="Z23" i="98" s="1"/>
  <c r="AD23" i="98" s="1"/>
  <c r="L23" i="98"/>
  <c r="P23" i="98" s="1"/>
  <c r="T23" i="98" s="1"/>
  <c r="X23" i="98" s="1"/>
  <c r="AB23" i="98" s="1"/>
  <c r="N21" i="98"/>
  <c r="R21" i="98" s="1"/>
  <c r="V21" i="98" s="1"/>
  <c r="Z21" i="98" s="1"/>
  <c r="AD21" i="98" s="1"/>
  <c r="AH21" i="98" s="1"/>
  <c r="AL21" i="98" s="1"/>
  <c r="AP21" i="98" s="1"/>
  <c r="AT21" i="98" s="1"/>
  <c r="L21" i="98"/>
  <c r="P21" i="98" s="1"/>
  <c r="T21" i="98" s="1"/>
  <c r="X21" i="98" s="1"/>
  <c r="AB21" i="98" s="1"/>
  <c r="X17" i="98"/>
  <c r="AB17" i="98" s="1"/>
  <c r="AF17" i="98" s="1"/>
  <c r="AJ17" i="98" s="1"/>
  <c r="AN17" i="98" s="1"/>
  <c r="AR17" i="98" s="1"/>
  <c r="N17" i="98"/>
  <c r="R17" i="98" s="1"/>
  <c r="V17" i="98" s="1"/>
  <c r="Z17" i="98" s="1"/>
  <c r="AD17" i="98" s="1"/>
  <c r="L17" i="98"/>
  <c r="P17" i="98" s="1"/>
  <c r="T17" i="98" s="1"/>
  <c r="D17" i="98"/>
  <c r="D23" i="98" s="1"/>
  <c r="R14" i="98"/>
  <c r="V14" i="98" s="1"/>
  <c r="Z14" i="98" s="1"/>
  <c r="AD14" i="98" s="1"/>
  <c r="N14" i="98"/>
  <c r="L14" i="98"/>
  <c r="P14" i="98" s="1"/>
  <c r="T14" i="98" s="1"/>
  <c r="X14" i="98" s="1"/>
  <c r="AB14" i="98" s="1"/>
  <c r="N12" i="98"/>
  <c r="R12" i="98" s="1"/>
  <c r="V12" i="98" s="1"/>
  <c r="Z12" i="98" s="1"/>
  <c r="AD12" i="98" s="1"/>
  <c r="L12" i="98"/>
  <c r="P12" i="98" s="1"/>
  <c r="T12" i="98" s="1"/>
  <c r="X12" i="98" s="1"/>
  <c r="AB12" i="98" s="1"/>
  <c r="N10" i="98"/>
  <c r="R10" i="98" s="1"/>
  <c r="V10" i="98" s="1"/>
  <c r="Z10" i="98" s="1"/>
  <c r="AD10" i="98" s="1"/>
  <c r="L10" i="98"/>
  <c r="P10" i="98" s="1"/>
  <c r="T10" i="98" s="1"/>
  <c r="X10" i="98" s="1"/>
  <c r="AB10" i="98" s="1"/>
  <c r="E10" i="98"/>
  <c r="E12" i="98" s="1"/>
  <c r="E13" i="98" s="1"/>
  <c r="N5" i="98"/>
  <c r="R5" i="98" s="1"/>
  <c r="V5" i="98" s="1"/>
  <c r="Z5" i="98" s="1"/>
  <c r="AD5" i="98" s="1"/>
  <c r="AH5" i="98" s="1"/>
  <c r="AL5" i="98" s="1"/>
  <c r="AP5" i="98" s="1"/>
  <c r="AT5" i="98" s="1"/>
  <c r="BF5" i="98" s="1"/>
  <c r="BJ5" i="98" s="1"/>
  <c r="L5" i="98"/>
  <c r="P5" i="98" s="1"/>
  <c r="T5" i="98" s="1"/>
  <c r="X5" i="98" s="1"/>
  <c r="AB5" i="98" s="1"/>
  <c r="AD75" i="97"/>
  <c r="AD76" i="97" s="1"/>
  <c r="AD77" i="97" s="1"/>
  <c r="AD78" i="97" s="1"/>
  <c r="AD79" i="97" s="1"/>
  <c r="AD80" i="97" s="1"/>
  <c r="AD81" i="97" s="1"/>
  <c r="AD82" i="97" s="1"/>
  <c r="AD83" i="97" s="1"/>
  <c r="AD84" i="97" s="1"/>
  <c r="AD85" i="97" s="1"/>
  <c r="AD86" i="97" s="1"/>
  <c r="AD87" i="97" s="1"/>
  <c r="AD88" i="97" s="1"/>
  <c r="AD89" i="97" s="1"/>
  <c r="AD90" i="97" s="1"/>
  <c r="AD91" i="97" s="1"/>
  <c r="AD92" i="97" s="1"/>
  <c r="AD93" i="97" s="1"/>
  <c r="AD94" i="97" s="1"/>
  <c r="AD95" i="97" s="1"/>
  <c r="AD96" i="97" s="1"/>
  <c r="AD97" i="97" s="1"/>
  <c r="AD98" i="97" s="1"/>
  <c r="AD99" i="97" s="1"/>
  <c r="AD100" i="97" s="1"/>
  <c r="AD101" i="97" s="1"/>
  <c r="AD102" i="97" s="1"/>
  <c r="AD103" i="97" s="1"/>
  <c r="AD104" i="97" s="1"/>
  <c r="AD105" i="97" s="1"/>
  <c r="AD106" i="97" s="1"/>
  <c r="AG74" i="97"/>
  <c r="AE75" i="97" s="1"/>
  <c r="AF74" i="97"/>
  <c r="AF75" i="97" s="1"/>
  <c r="AF76" i="97" s="1"/>
  <c r="AF77" i="97" s="1"/>
  <c r="AF78" i="97" s="1"/>
  <c r="AF79" i="97" s="1"/>
  <c r="AF80" i="97" s="1"/>
  <c r="AF81" i="97" s="1"/>
  <c r="AF82" i="97" s="1"/>
  <c r="AF83" i="97" s="1"/>
  <c r="AF84" i="97" s="1"/>
  <c r="AF85" i="97" s="1"/>
  <c r="AF86" i="97" s="1"/>
  <c r="AF87" i="97" s="1"/>
  <c r="AF88" i="97" s="1"/>
  <c r="AF89" i="97" s="1"/>
  <c r="AF90" i="97" s="1"/>
  <c r="AF91" i="97" s="1"/>
  <c r="AF92" i="97" s="1"/>
  <c r="AF93" i="97" s="1"/>
  <c r="AF94" i="97" s="1"/>
  <c r="AF95" i="97" s="1"/>
  <c r="AF96" i="97" s="1"/>
  <c r="AF97" i="97" s="1"/>
  <c r="AF98" i="97" s="1"/>
  <c r="AF99" i="97" s="1"/>
  <c r="AF100" i="97" s="1"/>
  <c r="AF101" i="97" s="1"/>
  <c r="AF102" i="97" s="1"/>
  <c r="AF103" i="97" s="1"/>
  <c r="AF104" i="97" s="1"/>
  <c r="AF105" i="97" s="1"/>
  <c r="AF106" i="97" s="1"/>
  <c r="O72" i="97"/>
  <c r="Q70" i="97" s="1"/>
  <c r="S71" i="97"/>
  <c r="BI67" i="97"/>
  <c r="BI69" i="97" s="1"/>
  <c r="BI70" i="97" s="1"/>
  <c r="CD56" i="97"/>
  <c r="CC56" i="97"/>
  <c r="BJ55" i="97"/>
  <c r="BB53" i="97"/>
  <c r="C37" i="97"/>
  <c r="C38" i="97" s="1"/>
  <c r="C39" i="97" s="1"/>
  <c r="BG35" i="97"/>
  <c r="BH32" i="97"/>
  <c r="N27" i="97"/>
  <c r="R27" i="97" s="1"/>
  <c r="V27" i="97" s="1"/>
  <c r="Z27" i="97" s="1"/>
  <c r="AD27" i="97" s="1"/>
  <c r="L27" i="97"/>
  <c r="P27" i="97" s="1"/>
  <c r="T27" i="97" s="1"/>
  <c r="X27" i="97" s="1"/>
  <c r="AB27" i="97" s="1"/>
  <c r="CI26" i="97"/>
  <c r="CI27" i="97" s="1"/>
  <c r="CI28" i="97" s="1"/>
  <c r="CI29" i="97" s="1"/>
  <c r="CI30" i="97" s="1"/>
  <c r="CI31" i="97" s="1"/>
  <c r="CI32" i="97" s="1"/>
  <c r="CI33" i="97" s="1"/>
  <c r="CI34" i="97" s="1"/>
  <c r="CI35" i="97" s="1"/>
  <c r="CI36" i="97" s="1"/>
  <c r="CI37" i="97" s="1"/>
  <c r="CI38" i="97" s="1"/>
  <c r="CI39" i="97" s="1"/>
  <c r="CI40" i="97" s="1"/>
  <c r="CI41" i="97" s="1"/>
  <c r="CI42" i="97" s="1"/>
  <c r="CI43" i="97" s="1"/>
  <c r="CI44" i="97" s="1"/>
  <c r="CI45" i="97" s="1"/>
  <c r="CI46" i="97" s="1"/>
  <c r="CI47" i="97" s="1"/>
  <c r="CI48" i="97" s="1"/>
  <c r="CI49" i="97" s="1"/>
  <c r="CI50" i="97" s="1"/>
  <c r="CI51" i="97" s="1"/>
  <c r="CI52" i="97" s="1"/>
  <c r="CI53" i="97" s="1"/>
  <c r="CI54" i="97" s="1"/>
  <c r="CI55" i="97" s="1"/>
  <c r="BS25" i="97"/>
  <c r="BS26" i="97" s="1"/>
  <c r="BS27" i="97" s="1"/>
  <c r="BS28" i="97" s="1"/>
  <c r="BS29" i="97" s="1"/>
  <c r="BS30" i="97" s="1"/>
  <c r="BS31" i="97" s="1"/>
  <c r="BS32" i="97" s="1"/>
  <c r="BS33" i="97" s="1"/>
  <c r="BS34" i="97" s="1"/>
  <c r="BS35" i="97" s="1"/>
  <c r="BS36" i="97" s="1"/>
  <c r="BS37" i="97" s="1"/>
  <c r="BS38" i="97" s="1"/>
  <c r="BS39" i="97" s="1"/>
  <c r="BS40" i="97" s="1"/>
  <c r="BS41" i="97" s="1"/>
  <c r="BS42" i="97" s="1"/>
  <c r="BS43" i="97" s="1"/>
  <c r="BS44" i="97" s="1"/>
  <c r="BS45" i="97" s="1"/>
  <c r="BS46" i="97" s="1"/>
  <c r="BS47" i="97" s="1"/>
  <c r="BS48" i="97" s="1"/>
  <c r="BS49" i="97" s="1"/>
  <c r="BS50" i="97" s="1"/>
  <c r="BS51" i="97" s="1"/>
  <c r="BS52" i="97" s="1"/>
  <c r="BS53" i="97" s="1"/>
  <c r="BS54" i="97" s="1"/>
  <c r="BS55" i="97" s="1"/>
  <c r="N25" i="97"/>
  <c r="R25" i="97" s="1"/>
  <c r="V25" i="97" s="1"/>
  <c r="Z25" i="97" s="1"/>
  <c r="AD25" i="97" s="1"/>
  <c r="L25" i="97"/>
  <c r="P25" i="97" s="1"/>
  <c r="T25" i="97" s="1"/>
  <c r="X25" i="97" s="1"/>
  <c r="AB25" i="97" s="1"/>
  <c r="CM24" i="97"/>
  <c r="CM25" i="97" s="1"/>
  <c r="CM26" i="97" s="1"/>
  <c r="CM27" i="97" s="1"/>
  <c r="CM28" i="97" s="1"/>
  <c r="CM29" i="97" s="1"/>
  <c r="CM30" i="97" s="1"/>
  <c r="CM31" i="97" s="1"/>
  <c r="CM32" i="97" s="1"/>
  <c r="CM33" i="97" s="1"/>
  <c r="CM34" i="97" s="1"/>
  <c r="CM35" i="97" s="1"/>
  <c r="CM36" i="97" s="1"/>
  <c r="CM37" i="97" s="1"/>
  <c r="CM38" i="97" s="1"/>
  <c r="CM39" i="97" s="1"/>
  <c r="CM40" i="97" s="1"/>
  <c r="CM41" i="97" s="1"/>
  <c r="CM42" i="97" s="1"/>
  <c r="CM43" i="97" s="1"/>
  <c r="CM44" i="97" s="1"/>
  <c r="CM45" i="97" s="1"/>
  <c r="CM46" i="97" s="1"/>
  <c r="CM47" i="97" s="1"/>
  <c r="CM48" i="97" s="1"/>
  <c r="CM49" i="97" s="1"/>
  <c r="CM50" i="97" s="1"/>
  <c r="CM51" i="97" s="1"/>
  <c r="CM52" i="97" s="1"/>
  <c r="CM53" i="97" s="1"/>
  <c r="CM54" i="97" s="1"/>
  <c r="CM55" i="97" s="1"/>
  <c r="BY24" i="97"/>
  <c r="BY25" i="97" s="1"/>
  <c r="BY26" i="97" s="1"/>
  <c r="BY27" i="97" s="1"/>
  <c r="BY28" i="97" s="1"/>
  <c r="BY29" i="97" s="1"/>
  <c r="BY30" i="97" s="1"/>
  <c r="BY31" i="97" s="1"/>
  <c r="BY32" i="97" s="1"/>
  <c r="BY33" i="97" s="1"/>
  <c r="BY34" i="97" s="1"/>
  <c r="BY35" i="97" s="1"/>
  <c r="BY36" i="97" s="1"/>
  <c r="BY37" i="97" s="1"/>
  <c r="BY38" i="97" s="1"/>
  <c r="BY39" i="97" s="1"/>
  <c r="BY40" i="97" s="1"/>
  <c r="BY41" i="97" s="1"/>
  <c r="BY42" i="97" s="1"/>
  <c r="BY43" i="97" s="1"/>
  <c r="BY44" i="97" s="1"/>
  <c r="BY45" i="97" s="1"/>
  <c r="BY46" i="97" s="1"/>
  <c r="BY47" i="97" s="1"/>
  <c r="BY48" i="97" s="1"/>
  <c r="BY49" i="97" s="1"/>
  <c r="BY50" i="97" s="1"/>
  <c r="BY51" i="97" s="1"/>
  <c r="BY52" i="97" s="1"/>
  <c r="BY53" i="97" s="1"/>
  <c r="BY54" i="97" s="1"/>
  <c r="BY55" i="97" s="1"/>
  <c r="BU24" i="97"/>
  <c r="BU25" i="97" s="1"/>
  <c r="BU26" i="97" s="1"/>
  <c r="BU27" i="97" s="1"/>
  <c r="BU28" i="97" s="1"/>
  <c r="BU29" i="97" s="1"/>
  <c r="BU30" i="97" s="1"/>
  <c r="BU31" i="97" s="1"/>
  <c r="BU32" i="97" s="1"/>
  <c r="BU33" i="97" s="1"/>
  <c r="BU34" i="97" s="1"/>
  <c r="BU35" i="97" s="1"/>
  <c r="BU36" i="97" s="1"/>
  <c r="BU37" i="97" s="1"/>
  <c r="BU38" i="97" s="1"/>
  <c r="BU39" i="97" s="1"/>
  <c r="BU40" i="97" s="1"/>
  <c r="BU41" i="97" s="1"/>
  <c r="BU42" i="97" s="1"/>
  <c r="BU43" i="97" s="1"/>
  <c r="BU44" i="97" s="1"/>
  <c r="BU45" i="97" s="1"/>
  <c r="BU46" i="97" s="1"/>
  <c r="BU47" i="97" s="1"/>
  <c r="BU48" i="97" s="1"/>
  <c r="BU49" i="97" s="1"/>
  <c r="BU50" i="97" s="1"/>
  <c r="BU51" i="97" s="1"/>
  <c r="BU52" i="97" s="1"/>
  <c r="BU53" i="97" s="1"/>
  <c r="BU54" i="97" s="1"/>
  <c r="BU55" i="97" s="1"/>
  <c r="BS24" i="97"/>
  <c r="BV23" i="97"/>
  <c r="BT24" i="97" s="1"/>
  <c r="N23" i="97"/>
  <c r="R23" i="97" s="1"/>
  <c r="V23" i="97" s="1"/>
  <c r="Z23" i="97" s="1"/>
  <c r="AD23" i="97" s="1"/>
  <c r="L23" i="97"/>
  <c r="P23" i="97" s="1"/>
  <c r="T23" i="97" s="1"/>
  <c r="X23" i="97" s="1"/>
  <c r="AB23" i="97" s="1"/>
  <c r="N21" i="97"/>
  <c r="R21" i="97" s="1"/>
  <c r="V21" i="97" s="1"/>
  <c r="Z21" i="97" s="1"/>
  <c r="AD21" i="97" s="1"/>
  <c r="L21" i="97"/>
  <c r="P21" i="97" s="1"/>
  <c r="T21" i="97" s="1"/>
  <c r="X21" i="97" s="1"/>
  <c r="AB21" i="97" s="1"/>
  <c r="N17" i="97"/>
  <c r="R17" i="97" s="1"/>
  <c r="V17" i="97" s="1"/>
  <c r="Z17" i="97" s="1"/>
  <c r="AD17" i="97" s="1"/>
  <c r="L17" i="97"/>
  <c r="P17" i="97" s="1"/>
  <c r="T17" i="97" s="1"/>
  <c r="X17" i="97" s="1"/>
  <c r="AB17" i="97" s="1"/>
  <c r="D17" i="97"/>
  <c r="D23" i="97" s="1"/>
  <c r="N14" i="97"/>
  <c r="R14" i="97" s="1"/>
  <c r="V14" i="97" s="1"/>
  <c r="Z14" i="97" s="1"/>
  <c r="AD14" i="97" s="1"/>
  <c r="L14" i="97"/>
  <c r="P14" i="97" s="1"/>
  <c r="T14" i="97" s="1"/>
  <c r="X14" i="97" s="1"/>
  <c r="AB14" i="97" s="1"/>
  <c r="N12" i="97"/>
  <c r="R12" i="97" s="1"/>
  <c r="V12" i="97" s="1"/>
  <c r="Z12" i="97" s="1"/>
  <c r="AD12" i="97" s="1"/>
  <c r="L12" i="97"/>
  <c r="P12" i="97" s="1"/>
  <c r="T12" i="97" s="1"/>
  <c r="X12" i="97" s="1"/>
  <c r="AB12" i="97" s="1"/>
  <c r="E12" i="97"/>
  <c r="E13" i="97" s="1"/>
  <c r="N10" i="97"/>
  <c r="R10" i="97" s="1"/>
  <c r="V10" i="97" s="1"/>
  <c r="Z10" i="97" s="1"/>
  <c r="AD10" i="97" s="1"/>
  <c r="L10" i="97"/>
  <c r="P10" i="97" s="1"/>
  <c r="T10" i="97" s="1"/>
  <c r="X10" i="97" s="1"/>
  <c r="AB10" i="97" s="1"/>
  <c r="E10" i="97"/>
  <c r="R5" i="97"/>
  <c r="V5" i="97" s="1"/>
  <c r="Z5" i="97" s="1"/>
  <c r="AD5" i="97" s="1"/>
  <c r="N5" i="97"/>
  <c r="L5" i="97"/>
  <c r="P5" i="97" s="1"/>
  <c r="T5" i="97" s="1"/>
  <c r="X5" i="97" s="1"/>
  <c r="AB5" i="97" s="1"/>
  <c r="AD75" i="96"/>
  <c r="AD76" i="96" s="1"/>
  <c r="AD77" i="96" s="1"/>
  <c r="AD78" i="96" s="1"/>
  <c r="AD79" i="96" s="1"/>
  <c r="AD80" i="96" s="1"/>
  <c r="AD81" i="96" s="1"/>
  <c r="AD82" i="96" s="1"/>
  <c r="AD83" i="96" s="1"/>
  <c r="AD84" i="96" s="1"/>
  <c r="AD85" i="96" s="1"/>
  <c r="AD86" i="96" s="1"/>
  <c r="AD87" i="96" s="1"/>
  <c r="AD88" i="96" s="1"/>
  <c r="AD89" i="96" s="1"/>
  <c r="AD90" i="96" s="1"/>
  <c r="AD91" i="96" s="1"/>
  <c r="AD92" i="96" s="1"/>
  <c r="AD93" i="96" s="1"/>
  <c r="AD94" i="96" s="1"/>
  <c r="AD95" i="96" s="1"/>
  <c r="AD96" i="96" s="1"/>
  <c r="AD97" i="96" s="1"/>
  <c r="AD98" i="96" s="1"/>
  <c r="AD99" i="96" s="1"/>
  <c r="AD100" i="96" s="1"/>
  <c r="AD101" i="96" s="1"/>
  <c r="AD102" i="96" s="1"/>
  <c r="AD103" i="96" s="1"/>
  <c r="AD104" i="96" s="1"/>
  <c r="AD105" i="96" s="1"/>
  <c r="AD106" i="96" s="1"/>
  <c r="AF74" i="96"/>
  <c r="O72" i="96"/>
  <c r="Q70" i="96" s="1"/>
  <c r="S71" i="96"/>
  <c r="BI67" i="96"/>
  <c r="BI69" i="96" s="1"/>
  <c r="BI70" i="96" s="1"/>
  <c r="CD56" i="96"/>
  <c r="CC56" i="96"/>
  <c r="BJ55" i="96"/>
  <c r="BB53" i="96"/>
  <c r="C38" i="96"/>
  <c r="C37" i="96"/>
  <c r="BG35" i="96"/>
  <c r="BH32" i="96"/>
  <c r="N27" i="96"/>
  <c r="R27" i="96" s="1"/>
  <c r="V27" i="96" s="1"/>
  <c r="Z27" i="96" s="1"/>
  <c r="AD27" i="96" s="1"/>
  <c r="L27" i="96"/>
  <c r="P27" i="96" s="1"/>
  <c r="T27" i="96" s="1"/>
  <c r="X27" i="96" s="1"/>
  <c r="AB27" i="96" s="1"/>
  <c r="CI26" i="96"/>
  <c r="CI27" i="96" s="1"/>
  <c r="CI28" i="96" s="1"/>
  <c r="CI29" i="96" s="1"/>
  <c r="CI30" i="96" s="1"/>
  <c r="CI31" i="96" s="1"/>
  <c r="CI32" i="96" s="1"/>
  <c r="CI33" i="96" s="1"/>
  <c r="CI34" i="96" s="1"/>
  <c r="CI35" i="96" s="1"/>
  <c r="CI36" i="96" s="1"/>
  <c r="CI37" i="96" s="1"/>
  <c r="CI38" i="96" s="1"/>
  <c r="CI39" i="96" s="1"/>
  <c r="CI40" i="96" s="1"/>
  <c r="CI41" i="96" s="1"/>
  <c r="CI42" i="96" s="1"/>
  <c r="CI43" i="96" s="1"/>
  <c r="CI44" i="96" s="1"/>
  <c r="CI45" i="96" s="1"/>
  <c r="CI46" i="96" s="1"/>
  <c r="CI47" i="96" s="1"/>
  <c r="CI48" i="96" s="1"/>
  <c r="CI49" i="96" s="1"/>
  <c r="CI50" i="96" s="1"/>
  <c r="CI51" i="96" s="1"/>
  <c r="CI52" i="96" s="1"/>
  <c r="CI53" i="96" s="1"/>
  <c r="CI54" i="96" s="1"/>
  <c r="CI55" i="96" s="1"/>
  <c r="P25" i="96"/>
  <c r="T25" i="96" s="1"/>
  <c r="X25" i="96" s="1"/>
  <c r="AB25" i="96" s="1"/>
  <c r="AF25" i="96" s="1"/>
  <c r="AJ25" i="96" s="1"/>
  <c r="AN25" i="96" s="1"/>
  <c r="AR25" i="96" s="1"/>
  <c r="N25" i="96"/>
  <c r="R25" i="96" s="1"/>
  <c r="V25" i="96" s="1"/>
  <c r="Z25" i="96" s="1"/>
  <c r="AD25" i="96" s="1"/>
  <c r="L25" i="96"/>
  <c r="CM24" i="96"/>
  <c r="CM25" i="96" s="1"/>
  <c r="CM26" i="96" s="1"/>
  <c r="CM27" i="96" s="1"/>
  <c r="CM28" i="96" s="1"/>
  <c r="CM29" i="96" s="1"/>
  <c r="CM30" i="96" s="1"/>
  <c r="CM31" i="96" s="1"/>
  <c r="CM32" i="96" s="1"/>
  <c r="CM33" i="96" s="1"/>
  <c r="CM34" i="96" s="1"/>
  <c r="CM35" i="96" s="1"/>
  <c r="CM36" i="96" s="1"/>
  <c r="CM37" i="96" s="1"/>
  <c r="CM38" i="96" s="1"/>
  <c r="CM39" i="96" s="1"/>
  <c r="CM40" i="96" s="1"/>
  <c r="CM41" i="96" s="1"/>
  <c r="CM42" i="96" s="1"/>
  <c r="CM43" i="96" s="1"/>
  <c r="CM44" i="96" s="1"/>
  <c r="CM45" i="96" s="1"/>
  <c r="CM46" i="96" s="1"/>
  <c r="CM47" i="96" s="1"/>
  <c r="CM48" i="96" s="1"/>
  <c r="CM49" i="96" s="1"/>
  <c r="CM50" i="96" s="1"/>
  <c r="CM51" i="96" s="1"/>
  <c r="CM52" i="96" s="1"/>
  <c r="CM53" i="96" s="1"/>
  <c r="CM54" i="96" s="1"/>
  <c r="CM55" i="96" s="1"/>
  <c r="BY24" i="96"/>
  <c r="BY25" i="96" s="1"/>
  <c r="BY26" i="96" s="1"/>
  <c r="BY27" i="96" s="1"/>
  <c r="BY28" i="96" s="1"/>
  <c r="BY29" i="96" s="1"/>
  <c r="BY30" i="96" s="1"/>
  <c r="BY31" i="96" s="1"/>
  <c r="BY32" i="96" s="1"/>
  <c r="BY33" i="96" s="1"/>
  <c r="BY34" i="96" s="1"/>
  <c r="BY35" i="96" s="1"/>
  <c r="BY36" i="96" s="1"/>
  <c r="BY37" i="96" s="1"/>
  <c r="BY38" i="96" s="1"/>
  <c r="BY39" i="96" s="1"/>
  <c r="BY40" i="96" s="1"/>
  <c r="BY41" i="96" s="1"/>
  <c r="BY42" i="96" s="1"/>
  <c r="BY43" i="96" s="1"/>
  <c r="BY44" i="96" s="1"/>
  <c r="BY45" i="96" s="1"/>
  <c r="BY46" i="96" s="1"/>
  <c r="BY47" i="96" s="1"/>
  <c r="BY48" i="96" s="1"/>
  <c r="BY49" i="96" s="1"/>
  <c r="BY50" i="96" s="1"/>
  <c r="BY51" i="96" s="1"/>
  <c r="BY52" i="96" s="1"/>
  <c r="BY53" i="96" s="1"/>
  <c r="BY54" i="96" s="1"/>
  <c r="BY55" i="96" s="1"/>
  <c r="BU24" i="96"/>
  <c r="BU25" i="96" s="1"/>
  <c r="BU26" i="96" s="1"/>
  <c r="BU27" i="96" s="1"/>
  <c r="BU28" i="96" s="1"/>
  <c r="BU29" i="96" s="1"/>
  <c r="BU30" i="96" s="1"/>
  <c r="BU31" i="96" s="1"/>
  <c r="BU32" i="96" s="1"/>
  <c r="BU33" i="96" s="1"/>
  <c r="BU34" i="96" s="1"/>
  <c r="BU35" i="96" s="1"/>
  <c r="BU36" i="96" s="1"/>
  <c r="BU37" i="96" s="1"/>
  <c r="BU38" i="96" s="1"/>
  <c r="BU39" i="96" s="1"/>
  <c r="BU40" i="96" s="1"/>
  <c r="BU41" i="96" s="1"/>
  <c r="BU42" i="96" s="1"/>
  <c r="BU43" i="96" s="1"/>
  <c r="BU44" i="96" s="1"/>
  <c r="BU45" i="96" s="1"/>
  <c r="BU46" i="96" s="1"/>
  <c r="BU47" i="96" s="1"/>
  <c r="BU48" i="96" s="1"/>
  <c r="BU49" i="96" s="1"/>
  <c r="BU50" i="96" s="1"/>
  <c r="BU51" i="96" s="1"/>
  <c r="BU52" i="96" s="1"/>
  <c r="BU53" i="96" s="1"/>
  <c r="BU54" i="96" s="1"/>
  <c r="BU55" i="96" s="1"/>
  <c r="BS24" i="96"/>
  <c r="BS25" i="96" s="1"/>
  <c r="BS26" i="96" s="1"/>
  <c r="BS27" i="96" s="1"/>
  <c r="BS28" i="96" s="1"/>
  <c r="BS29" i="96" s="1"/>
  <c r="BS30" i="96" s="1"/>
  <c r="BS31" i="96" s="1"/>
  <c r="BS32" i="96" s="1"/>
  <c r="BS33" i="96" s="1"/>
  <c r="BS34" i="96" s="1"/>
  <c r="BS35" i="96" s="1"/>
  <c r="BS36" i="96" s="1"/>
  <c r="BS37" i="96" s="1"/>
  <c r="BS38" i="96" s="1"/>
  <c r="BS39" i="96" s="1"/>
  <c r="BS40" i="96" s="1"/>
  <c r="BS41" i="96" s="1"/>
  <c r="BS42" i="96" s="1"/>
  <c r="BS43" i="96" s="1"/>
  <c r="BS44" i="96" s="1"/>
  <c r="BS45" i="96" s="1"/>
  <c r="BS46" i="96" s="1"/>
  <c r="BS47" i="96" s="1"/>
  <c r="BS48" i="96" s="1"/>
  <c r="BS49" i="96" s="1"/>
  <c r="BS50" i="96" s="1"/>
  <c r="BS51" i="96" s="1"/>
  <c r="BS52" i="96" s="1"/>
  <c r="BS53" i="96" s="1"/>
  <c r="BS54" i="96" s="1"/>
  <c r="BS55" i="96" s="1"/>
  <c r="BV23" i="96"/>
  <c r="BT24" i="96" s="1"/>
  <c r="T23" i="96"/>
  <c r="X23" i="96" s="1"/>
  <c r="AB23" i="96" s="1"/>
  <c r="N23" i="96"/>
  <c r="R23" i="96" s="1"/>
  <c r="V23" i="96" s="1"/>
  <c r="Z23" i="96" s="1"/>
  <c r="AD23" i="96" s="1"/>
  <c r="L23" i="96"/>
  <c r="P23" i="96" s="1"/>
  <c r="N21" i="96"/>
  <c r="R21" i="96" s="1"/>
  <c r="V21" i="96" s="1"/>
  <c r="Z21" i="96" s="1"/>
  <c r="AD21" i="96" s="1"/>
  <c r="L21" i="96"/>
  <c r="P21" i="96" s="1"/>
  <c r="T21" i="96" s="1"/>
  <c r="X21" i="96" s="1"/>
  <c r="AB21" i="96" s="1"/>
  <c r="N17" i="96"/>
  <c r="R17" i="96" s="1"/>
  <c r="V17" i="96" s="1"/>
  <c r="Z17" i="96" s="1"/>
  <c r="AD17" i="96" s="1"/>
  <c r="AH17" i="96" s="1"/>
  <c r="AL17" i="96" s="1"/>
  <c r="AP17" i="96" s="1"/>
  <c r="AT17" i="96" s="1"/>
  <c r="L17" i="96"/>
  <c r="P17" i="96" s="1"/>
  <c r="T17" i="96" s="1"/>
  <c r="X17" i="96" s="1"/>
  <c r="AB17" i="96" s="1"/>
  <c r="D17" i="96"/>
  <c r="D23" i="96" s="1"/>
  <c r="N14" i="96"/>
  <c r="R14" i="96" s="1"/>
  <c r="V14" i="96" s="1"/>
  <c r="Z14" i="96" s="1"/>
  <c r="AD14" i="96" s="1"/>
  <c r="L14" i="96"/>
  <c r="P14" i="96" s="1"/>
  <c r="T14" i="96" s="1"/>
  <c r="X14" i="96" s="1"/>
  <c r="AB14" i="96" s="1"/>
  <c r="N12" i="96"/>
  <c r="R12" i="96" s="1"/>
  <c r="V12" i="96" s="1"/>
  <c r="Z12" i="96" s="1"/>
  <c r="AD12" i="96" s="1"/>
  <c r="L12" i="96"/>
  <c r="P12" i="96" s="1"/>
  <c r="T12" i="96" s="1"/>
  <c r="X12" i="96" s="1"/>
  <c r="AB12" i="96" s="1"/>
  <c r="AF12" i="96" s="1"/>
  <c r="AJ12" i="96" s="1"/>
  <c r="AN12" i="96" s="1"/>
  <c r="AR12" i="96" s="1"/>
  <c r="N10" i="96"/>
  <c r="R10" i="96" s="1"/>
  <c r="V10" i="96" s="1"/>
  <c r="Z10" i="96" s="1"/>
  <c r="AD10" i="96" s="1"/>
  <c r="L10" i="96"/>
  <c r="P10" i="96" s="1"/>
  <c r="T10" i="96" s="1"/>
  <c r="X10" i="96" s="1"/>
  <c r="AB10" i="96" s="1"/>
  <c r="E10" i="96"/>
  <c r="E12" i="96" s="1"/>
  <c r="E13" i="96" s="1"/>
  <c r="N5" i="96"/>
  <c r="R5" i="96" s="1"/>
  <c r="V5" i="96" s="1"/>
  <c r="Z5" i="96" s="1"/>
  <c r="AD5" i="96" s="1"/>
  <c r="L5" i="96"/>
  <c r="P5" i="96" s="1"/>
  <c r="T5" i="96" s="1"/>
  <c r="X5" i="96" s="1"/>
  <c r="AB5" i="96" s="1"/>
  <c r="AD75" i="95"/>
  <c r="AD76" i="95" s="1"/>
  <c r="AD77" i="95" s="1"/>
  <c r="AD78" i="95" s="1"/>
  <c r="AD79" i="95" s="1"/>
  <c r="AD80" i="95" s="1"/>
  <c r="AD81" i="95" s="1"/>
  <c r="AD82" i="95" s="1"/>
  <c r="AD83" i="95" s="1"/>
  <c r="AD84" i="95" s="1"/>
  <c r="AD85" i="95" s="1"/>
  <c r="AD86" i="95" s="1"/>
  <c r="AD87" i="95" s="1"/>
  <c r="AD88" i="95" s="1"/>
  <c r="AD89" i="95" s="1"/>
  <c r="AD90" i="95" s="1"/>
  <c r="AD91" i="95" s="1"/>
  <c r="AD92" i="95" s="1"/>
  <c r="AD93" i="95" s="1"/>
  <c r="AD94" i="95" s="1"/>
  <c r="AD95" i="95" s="1"/>
  <c r="AD96" i="95" s="1"/>
  <c r="AD97" i="95" s="1"/>
  <c r="AD98" i="95" s="1"/>
  <c r="AD99" i="95" s="1"/>
  <c r="AD100" i="95" s="1"/>
  <c r="AD101" i="95" s="1"/>
  <c r="AD102" i="95" s="1"/>
  <c r="AD103" i="95" s="1"/>
  <c r="AD104" i="95" s="1"/>
  <c r="AD105" i="95" s="1"/>
  <c r="AD106" i="95" s="1"/>
  <c r="AF74" i="95"/>
  <c r="AG74" i="95" s="1"/>
  <c r="AE75" i="95" s="1"/>
  <c r="O72" i="95"/>
  <c r="Q70" i="95" s="1"/>
  <c r="S71" i="95"/>
  <c r="BA67" i="95"/>
  <c r="BA69" i="95" s="1"/>
  <c r="BA70" i="95" s="1"/>
  <c r="BV56" i="95"/>
  <c r="BU56" i="95"/>
  <c r="BB55" i="95"/>
  <c r="AT53" i="95"/>
  <c r="C37" i="95"/>
  <c r="C38" i="95" s="1"/>
  <c r="CE35" i="95"/>
  <c r="CE36" i="95" s="1"/>
  <c r="CE37" i="95" s="1"/>
  <c r="CE38" i="95" s="1"/>
  <c r="CE39" i="95" s="1"/>
  <c r="CE40" i="95" s="1"/>
  <c r="CE41" i="95" s="1"/>
  <c r="CE42" i="95" s="1"/>
  <c r="CE43" i="95" s="1"/>
  <c r="CE44" i="95" s="1"/>
  <c r="CE45" i="95" s="1"/>
  <c r="CE46" i="95" s="1"/>
  <c r="CE47" i="95" s="1"/>
  <c r="CE48" i="95" s="1"/>
  <c r="CE49" i="95" s="1"/>
  <c r="CE50" i="95" s="1"/>
  <c r="CE51" i="95" s="1"/>
  <c r="CE52" i="95" s="1"/>
  <c r="CE53" i="95" s="1"/>
  <c r="CE54" i="95" s="1"/>
  <c r="CE55" i="95" s="1"/>
  <c r="AY35" i="95"/>
  <c r="AZ32" i="95"/>
  <c r="N27" i="95"/>
  <c r="R27" i="95" s="1"/>
  <c r="V27" i="95" s="1"/>
  <c r="Z27" i="95" s="1"/>
  <c r="AD27" i="95" s="1"/>
  <c r="L27" i="95"/>
  <c r="P27" i="95" s="1"/>
  <c r="T27" i="95" s="1"/>
  <c r="X27" i="95" s="1"/>
  <c r="AB27" i="95" s="1"/>
  <c r="CA26" i="95"/>
  <c r="CA27" i="95" s="1"/>
  <c r="CA28" i="95" s="1"/>
  <c r="CA29" i="95" s="1"/>
  <c r="CA30" i="95" s="1"/>
  <c r="CA31" i="95" s="1"/>
  <c r="CA32" i="95" s="1"/>
  <c r="CA33" i="95" s="1"/>
  <c r="CA34" i="95" s="1"/>
  <c r="CA35" i="95" s="1"/>
  <c r="CA36" i="95" s="1"/>
  <c r="CA37" i="95" s="1"/>
  <c r="CA38" i="95" s="1"/>
  <c r="CA39" i="95" s="1"/>
  <c r="CA40" i="95" s="1"/>
  <c r="CA41" i="95" s="1"/>
  <c r="CA42" i="95" s="1"/>
  <c r="CA43" i="95" s="1"/>
  <c r="CA44" i="95" s="1"/>
  <c r="CA45" i="95" s="1"/>
  <c r="CA46" i="95" s="1"/>
  <c r="CA47" i="95" s="1"/>
  <c r="CA48" i="95" s="1"/>
  <c r="CA49" i="95" s="1"/>
  <c r="CA50" i="95" s="1"/>
  <c r="CA51" i="95" s="1"/>
  <c r="CA52" i="95" s="1"/>
  <c r="CA53" i="95" s="1"/>
  <c r="CA54" i="95" s="1"/>
  <c r="CA55" i="95" s="1"/>
  <c r="N25" i="95"/>
  <c r="R25" i="95" s="1"/>
  <c r="V25" i="95" s="1"/>
  <c r="Z25" i="95" s="1"/>
  <c r="AD25" i="95" s="1"/>
  <c r="AH25" i="95" s="1"/>
  <c r="AL25" i="95" s="1"/>
  <c r="L25" i="95"/>
  <c r="P25" i="95" s="1"/>
  <c r="T25" i="95" s="1"/>
  <c r="X25" i="95" s="1"/>
  <c r="AB25" i="95" s="1"/>
  <c r="CE24" i="95"/>
  <c r="CE25" i="95" s="1"/>
  <c r="CE26" i="95" s="1"/>
  <c r="CE27" i="95" s="1"/>
  <c r="CE28" i="95" s="1"/>
  <c r="CE29" i="95" s="1"/>
  <c r="CE30" i="95" s="1"/>
  <c r="CE31" i="95" s="1"/>
  <c r="CE32" i="95" s="1"/>
  <c r="CE33" i="95" s="1"/>
  <c r="CE34" i="95" s="1"/>
  <c r="BQ24" i="95"/>
  <c r="BQ25" i="95" s="1"/>
  <c r="BQ26" i="95" s="1"/>
  <c r="BQ27" i="95" s="1"/>
  <c r="BQ28" i="95" s="1"/>
  <c r="BQ29" i="95" s="1"/>
  <c r="BQ30" i="95" s="1"/>
  <c r="BQ31" i="95" s="1"/>
  <c r="BQ32" i="95" s="1"/>
  <c r="BQ33" i="95" s="1"/>
  <c r="BQ34" i="95" s="1"/>
  <c r="BQ35" i="95" s="1"/>
  <c r="BQ36" i="95" s="1"/>
  <c r="BQ37" i="95" s="1"/>
  <c r="BQ38" i="95" s="1"/>
  <c r="BQ39" i="95" s="1"/>
  <c r="BQ40" i="95" s="1"/>
  <c r="BQ41" i="95" s="1"/>
  <c r="BQ42" i="95" s="1"/>
  <c r="BQ43" i="95" s="1"/>
  <c r="BQ44" i="95" s="1"/>
  <c r="BQ45" i="95" s="1"/>
  <c r="BQ46" i="95" s="1"/>
  <c r="BQ47" i="95" s="1"/>
  <c r="BQ48" i="95" s="1"/>
  <c r="BQ49" i="95" s="1"/>
  <c r="BQ50" i="95" s="1"/>
  <c r="BQ51" i="95" s="1"/>
  <c r="BQ52" i="95" s="1"/>
  <c r="BQ53" i="95" s="1"/>
  <c r="BQ54" i="95" s="1"/>
  <c r="BQ55" i="95" s="1"/>
  <c r="BM24" i="95"/>
  <c r="BM25" i="95" s="1"/>
  <c r="BM26" i="95" s="1"/>
  <c r="BM27" i="95" s="1"/>
  <c r="BM28" i="95" s="1"/>
  <c r="BM29" i="95" s="1"/>
  <c r="BM30" i="95" s="1"/>
  <c r="BM31" i="95" s="1"/>
  <c r="BM32" i="95" s="1"/>
  <c r="BM33" i="95" s="1"/>
  <c r="BM34" i="95" s="1"/>
  <c r="BM35" i="95" s="1"/>
  <c r="BM36" i="95" s="1"/>
  <c r="BM37" i="95" s="1"/>
  <c r="BM38" i="95" s="1"/>
  <c r="BM39" i="95" s="1"/>
  <c r="BM40" i="95" s="1"/>
  <c r="BM41" i="95" s="1"/>
  <c r="BM42" i="95" s="1"/>
  <c r="BM43" i="95" s="1"/>
  <c r="BM44" i="95" s="1"/>
  <c r="BM45" i="95" s="1"/>
  <c r="BM46" i="95" s="1"/>
  <c r="BM47" i="95" s="1"/>
  <c r="BM48" i="95" s="1"/>
  <c r="BM49" i="95" s="1"/>
  <c r="BM50" i="95" s="1"/>
  <c r="BM51" i="95" s="1"/>
  <c r="BM52" i="95" s="1"/>
  <c r="BM53" i="95" s="1"/>
  <c r="BM54" i="95" s="1"/>
  <c r="BM55" i="95" s="1"/>
  <c r="BL24" i="95"/>
  <c r="BK24" i="95"/>
  <c r="BK25" i="95" s="1"/>
  <c r="BK26" i="95" s="1"/>
  <c r="BK27" i="95" s="1"/>
  <c r="BK28" i="95" s="1"/>
  <c r="BK29" i="95" s="1"/>
  <c r="BK30" i="95" s="1"/>
  <c r="BK31" i="95" s="1"/>
  <c r="BK32" i="95" s="1"/>
  <c r="BK33" i="95" s="1"/>
  <c r="BK34" i="95" s="1"/>
  <c r="BK35" i="95" s="1"/>
  <c r="BK36" i="95" s="1"/>
  <c r="BK37" i="95" s="1"/>
  <c r="BK38" i="95" s="1"/>
  <c r="BK39" i="95" s="1"/>
  <c r="BK40" i="95" s="1"/>
  <c r="BK41" i="95" s="1"/>
  <c r="BK42" i="95" s="1"/>
  <c r="BK43" i="95" s="1"/>
  <c r="BK44" i="95" s="1"/>
  <c r="BK45" i="95" s="1"/>
  <c r="BK46" i="95" s="1"/>
  <c r="BK47" i="95" s="1"/>
  <c r="BK48" i="95" s="1"/>
  <c r="BK49" i="95" s="1"/>
  <c r="BK50" i="95" s="1"/>
  <c r="BK51" i="95" s="1"/>
  <c r="BK52" i="95" s="1"/>
  <c r="BK53" i="95" s="1"/>
  <c r="BK54" i="95" s="1"/>
  <c r="BK55" i="95" s="1"/>
  <c r="BN23" i="95"/>
  <c r="N23" i="95"/>
  <c r="R23" i="95" s="1"/>
  <c r="V23" i="95" s="1"/>
  <c r="Z23" i="95" s="1"/>
  <c r="AD23" i="95" s="1"/>
  <c r="L23" i="95"/>
  <c r="P23" i="95" s="1"/>
  <c r="T23" i="95" s="1"/>
  <c r="X23" i="95" s="1"/>
  <c r="AB23" i="95" s="1"/>
  <c r="N21" i="95"/>
  <c r="R21" i="95" s="1"/>
  <c r="V21" i="95" s="1"/>
  <c r="Z21" i="95" s="1"/>
  <c r="AD21" i="95" s="1"/>
  <c r="L21" i="95"/>
  <c r="P21" i="95" s="1"/>
  <c r="T21" i="95" s="1"/>
  <c r="X21" i="95" s="1"/>
  <c r="AB21" i="95" s="1"/>
  <c r="N17" i="95"/>
  <c r="R17" i="95" s="1"/>
  <c r="V17" i="95" s="1"/>
  <c r="Z17" i="95" s="1"/>
  <c r="AD17" i="95" s="1"/>
  <c r="L17" i="95"/>
  <c r="P17" i="95" s="1"/>
  <c r="T17" i="95" s="1"/>
  <c r="X17" i="95" s="1"/>
  <c r="AB17" i="95" s="1"/>
  <c r="D17" i="95"/>
  <c r="D23" i="95" s="1"/>
  <c r="N14" i="95"/>
  <c r="R14" i="95" s="1"/>
  <c r="V14" i="95" s="1"/>
  <c r="Z14" i="95" s="1"/>
  <c r="AD14" i="95" s="1"/>
  <c r="L14" i="95"/>
  <c r="P14" i="95" s="1"/>
  <c r="T14" i="95" s="1"/>
  <c r="X14" i="95" s="1"/>
  <c r="AB14" i="95" s="1"/>
  <c r="N12" i="95"/>
  <c r="R12" i="95" s="1"/>
  <c r="V12" i="95" s="1"/>
  <c r="Z12" i="95" s="1"/>
  <c r="AD12" i="95" s="1"/>
  <c r="L12" i="95"/>
  <c r="P12" i="95" s="1"/>
  <c r="T12" i="95" s="1"/>
  <c r="X12" i="95" s="1"/>
  <c r="AB12" i="95" s="1"/>
  <c r="P10" i="95"/>
  <c r="T10" i="95" s="1"/>
  <c r="X10" i="95" s="1"/>
  <c r="AB10" i="95" s="1"/>
  <c r="N10" i="95"/>
  <c r="R10" i="95" s="1"/>
  <c r="V10" i="95" s="1"/>
  <c r="Z10" i="95" s="1"/>
  <c r="AD10" i="95" s="1"/>
  <c r="L10" i="95"/>
  <c r="E10" i="95"/>
  <c r="E12" i="95" s="1"/>
  <c r="E13" i="95" s="1"/>
  <c r="N5" i="95"/>
  <c r="R5" i="95" s="1"/>
  <c r="V5" i="95" s="1"/>
  <c r="Z5" i="95" s="1"/>
  <c r="AD5" i="95" s="1"/>
  <c r="L5" i="95"/>
  <c r="P5" i="95" s="1"/>
  <c r="T5" i="95" s="1"/>
  <c r="X5" i="95" s="1"/>
  <c r="AB5" i="95" s="1"/>
  <c r="AH21" i="94"/>
  <c r="AL21" i="94" s="1"/>
  <c r="AH12" i="94"/>
  <c r="AL12" i="94" s="1"/>
  <c r="AD75" i="94"/>
  <c r="AD76" i="94" s="1"/>
  <c r="AD77" i="94" s="1"/>
  <c r="AD78" i="94" s="1"/>
  <c r="AD79" i="94" s="1"/>
  <c r="AD80" i="94" s="1"/>
  <c r="AD81" i="94" s="1"/>
  <c r="AD82" i="94" s="1"/>
  <c r="AD83" i="94" s="1"/>
  <c r="AD84" i="94" s="1"/>
  <c r="AD85" i="94" s="1"/>
  <c r="AD86" i="94" s="1"/>
  <c r="AD87" i="94" s="1"/>
  <c r="AD88" i="94" s="1"/>
  <c r="AD89" i="94" s="1"/>
  <c r="AD90" i="94" s="1"/>
  <c r="AD91" i="94" s="1"/>
  <c r="AD92" i="94" s="1"/>
  <c r="AD93" i="94" s="1"/>
  <c r="AD94" i="94" s="1"/>
  <c r="AD95" i="94" s="1"/>
  <c r="AD96" i="94" s="1"/>
  <c r="AD97" i="94" s="1"/>
  <c r="AD98" i="94" s="1"/>
  <c r="AD99" i="94" s="1"/>
  <c r="AD100" i="94" s="1"/>
  <c r="AD101" i="94" s="1"/>
  <c r="AD102" i="94" s="1"/>
  <c r="AD103" i="94" s="1"/>
  <c r="AD104" i="94" s="1"/>
  <c r="AD105" i="94" s="1"/>
  <c r="AD106" i="94" s="1"/>
  <c r="AF74" i="94"/>
  <c r="O72" i="94"/>
  <c r="Q70" i="94" s="1"/>
  <c r="S71" i="94"/>
  <c r="BA67" i="94"/>
  <c r="BA69" i="94" s="1"/>
  <c r="BA70" i="94" s="1"/>
  <c r="BV56" i="94"/>
  <c r="BU56" i="94"/>
  <c r="BB55" i="94"/>
  <c r="AT53" i="94"/>
  <c r="C37" i="94"/>
  <c r="AY35" i="94"/>
  <c r="AZ32" i="94"/>
  <c r="N27" i="94"/>
  <c r="R27" i="94" s="1"/>
  <c r="V27" i="94" s="1"/>
  <c r="Z27" i="94" s="1"/>
  <c r="AD27" i="94" s="1"/>
  <c r="L27" i="94"/>
  <c r="P27" i="94" s="1"/>
  <c r="T27" i="94" s="1"/>
  <c r="X27" i="94" s="1"/>
  <c r="AB27" i="94" s="1"/>
  <c r="AN27" i="94" s="1"/>
  <c r="AR27" i="94" s="1"/>
  <c r="AX27" i="94" s="1"/>
  <c r="CA26" i="94"/>
  <c r="CA27" i="94" s="1"/>
  <c r="CA28" i="94" s="1"/>
  <c r="CA29" i="94" s="1"/>
  <c r="CA30" i="94" s="1"/>
  <c r="CA31" i="94" s="1"/>
  <c r="CA32" i="94" s="1"/>
  <c r="CA33" i="94" s="1"/>
  <c r="CA34" i="94" s="1"/>
  <c r="CA35" i="94" s="1"/>
  <c r="CA36" i="94" s="1"/>
  <c r="CA37" i="94" s="1"/>
  <c r="CA38" i="94" s="1"/>
  <c r="CA39" i="94" s="1"/>
  <c r="CA40" i="94" s="1"/>
  <c r="CA41" i="94" s="1"/>
  <c r="CA42" i="94" s="1"/>
  <c r="CA43" i="94" s="1"/>
  <c r="CA44" i="94" s="1"/>
  <c r="CA45" i="94" s="1"/>
  <c r="CA46" i="94" s="1"/>
  <c r="CA47" i="94" s="1"/>
  <c r="CA48" i="94" s="1"/>
  <c r="CA49" i="94" s="1"/>
  <c r="CA50" i="94" s="1"/>
  <c r="CA51" i="94" s="1"/>
  <c r="CA52" i="94" s="1"/>
  <c r="CA53" i="94" s="1"/>
  <c r="CA54" i="94" s="1"/>
  <c r="CA55" i="94" s="1"/>
  <c r="N25" i="94"/>
  <c r="R25" i="94" s="1"/>
  <c r="V25" i="94" s="1"/>
  <c r="Z25" i="94" s="1"/>
  <c r="AD25" i="94" s="1"/>
  <c r="AP25" i="94" s="1"/>
  <c r="AT25" i="94" s="1"/>
  <c r="L25" i="94"/>
  <c r="P25" i="94" s="1"/>
  <c r="T25" i="94" s="1"/>
  <c r="X25" i="94" s="1"/>
  <c r="AB25" i="94" s="1"/>
  <c r="AN25" i="94" s="1"/>
  <c r="AR25" i="94" s="1"/>
  <c r="AX25" i="94" s="1"/>
  <c r="CE24" i="94"/>
  <c r="CE25" i="94" s="1"/>
  <c r="CE26" i="94" s="1"/>
  <c r="CE27" i="94" s="1"/>
  <c r="CE28" i="94" s="1"/>
  <c r="CE29" i="94" s="1"/>
  <c r="CE30" i="94" s="1"/>
  <c r="CE31" i="94" s="1"/>
  <c r="CE32" i="94" s="1"/>
  <c r="CE33" i="94" s="1"/>
  <c r="CE34" i="94" s="1"/>
  <c r="CE35" i="94" s="1"/>
  <c r="CE36" i="94" s="1"/>
  <c r="CE37" i="94" s="1"/>
  <c r="CE38" i="94" s="1"/>
  <c r="CE39" i="94" s="1"/>
  <c r="CE40" i="94" s="1"/>
  <c r="CE41" i="94" s="1"/>
  <c r="CE42" i="94" s="1"/>
  <c r="CE43" i="94" s="1"/>
  <c r="CE44" i="94" s="1"/>
  <c r="CE45" i="94" s="1"/>
  <c r="CE46" i="94" s="1"/>
  <c r="CE47" i="94" s="1"/>
  <c r="CE48" i="94" s="1"/>
  <c r="CE49" i="94" s="1"/>
  <c r="CE50" i="94" s="1"/>
  <c r="CE51" i="94" s="1"/>
  <c r="CE52" i="94" s="1"/>
  <c r="CE53" i="94" s="1"/>
  <c r="CE54" i="94" s="1"/>
  <c r="CE55" i="94" s="1"/>
  <c r="BQ24" i="94"/>
  <c r="BQ25" i="94" s="1"/>
  <c r="BQ26" i="94" s="1"/>
  <c r="BQ27" i="94" s="1"/>
  <c r="BQ28" i="94" s="1"/>
  <c r="BQ29" i="94" s="1"/>
  <c r="BQ30" i="94" s="1"/>
  <c r="BQ31" i="94" s="1"/>
  <c r="BQ32" i="94" s="1"/>
  <c r="BQ33" i="94" s="1"/>
  <c r="BQ34" i="94" s="1"/>
  <c r="BQ35" i="94" s="1"/>
  <c r="BQ36" i="94" s="1"/>
  <c r="BQ37" i="94" s="1"/>
  <c r="BQ38" i="94" s="1"/>
  <c r="BQ39" i="94" s="1"/>
  <c r="BQ40" i="94" s="1"/>
  <c r="BQ41" i="94" s="1"/>
  <c r="BQ42" i="94" s="1"/>
  <c r="BQ43" i="94" s="1"/>
  <c r="BQ44" i="94" s="1"/>
  <c r="BQ45" i="94" s="1"/>
  <c r="BQ46" i="94" s="1"/>
  <c r="BQ47" i="94" s="1"/>
  <c r="BQ48" i="94" s="1"/>
  <c r="BQ49" i="94" s="1"/>
  <c r="BQ50" i="94" s="1"/>
  <c r="BQ51" i="94" s="1"/>
  <c r="BQ52" i="94" s="1"/>
  <c r="BQ53" i="94" s="1"/>
  <c r="BQ54" i="94" s="1"/>
  <c r="BQ55" i="94" s="1"/>
  <c r="BM24" i="94"/>
  <c r="BM25" i="94" s="1"/>
  <c r="BM26" i="94" s="1"/>
  <c r="BM27" i="94" s="1"/>
  <c r="BM28" i="94" s="1"/>
  <c r="BM29" i="94" s="1"/>
  <c r="BM30" i="94" s="1"/>
  <c r="BM31" i="94" s="1"/>
  <c r="BM32" i="94" s="1"/>
  <c r="BM33" i="94" s="1"/>
  <c r="BM34" i="94" s="1"/>
  <c r="BM35" i="94" s="1"/>
  <c r="BM36" i="94" s="1"/>
  <c r="BM37" i="94" s="1"/>
  <c r="BM38" i="94" s="1"/>
  <c r="BM39" i="94" s="1"/>
  <c r="BM40" i="94" s="1"/>
  <c r="BM41" i="94" s="1"/>
  <c r="BM42" i="94" s="1"/>
  <c r="BM43" i="94" s="1"/>
  <c r="BM44" i="94" s="1"/>
  <c r="BM45" i="94" s="1"/>
  <c r="BM46" i="94" s="1"/>
  <c r="BM47" i="94" s="1"/>
  <c r="BM48" i="94" s="1"/>
  <c r="BM49" i="94" s="1"/>
  <c r="BM50" i="94" s="1"/>
  <c r="BM51" i="94" s="1"/>
  <c r="BM52" i="94" s="1"/>
  <c r="BM53" i="94" s="1"/>
  <c r="BM54" i="94" s="1"/>
  <c r="BM55" i="94" s="1"/>
  <c r="BK24" i="94"/>
  <c r="BK25" i="94" s="1"/>
  <c r="BK26" i="94" s="1"/>
  <c r="BK27" i="94" s="1"/>
  <c r="BK28" i="94" s="1"/>
  <c r="BK29" i="94" s="1"/>
  <c r="BK30" i="94" s="1"/>
  <c r="BK31" i="94" s="1"/>
  <c r="BK32" i="94" s="1"/>
  <c r="BK33" i="94" s="1"/>
  <c r="BK34" i="94" s="1"/>
  <c r="BK35" i="94" s="1"/>
  <c r="BK36" i="94" s="1"/>
  <c r="BK37" i="94" s="1"/>
  <c r="BK38" i="94" s="1"/>
  <c r="BK39" i="94" s="1"/>
  <c r="BK40" i="94" s="1"/>
  <c r="BK41" i="94" s="1"/>
  <c r="BK42" i="94" s="1"/>
  <c r="BK43" i="94" s="1"/>
  <c r="BK44" i="94" s="1"/>
  <c r="BK45" i="94" s="1"/>
  <c r="BK46" i="94" s="1"/>
  <c r="BK47" i="94" s="1"/>
  <c r="BK48" i="94" s="1"/>
  <c r="BK49" i="94" s="1"/>
  <c r="BK50" i="94" s="1"/>
  <c r="BK51" i="94" s="1"/>
  <c r="BK52" i="94" s="1"/>
  <c r="BK53" i="94" s="1"/>
  <c r="BK54" i="94" s="1"/>
  <c r="BK55" i="94" s="1"/>
  <c r="BN23" i="94"/>
  <c r="BL24" i="94" s="1"/>
  <c r="P23" i="94"/>
  <c r="T23" i="94" s="1"/>
  <c r="X23" i="94" s="1"/>
  <c r="AB23" i="94" s="1"/>
  <c r="N23" i="94"/>
  <c r="R23" i="94" s="1"/>
  <c r="V23" i="94" s="1"/>
  <c r="Z23" i="94" s="1"/>
  <c r="AD23" i="94" s="1"/>
  <c r="L23" i="94"/>
  <c r="N21" i="94"/>
  <c r="R21" i="94" s="1"/>
  <c r="V21" i="94" s="1"/>
  <c r="Z21" i="94" s="1"/>
  <c r="AD21" i="94" s="1"/>
  <c r="AP21" i="94" s="1"/>
  <c r="AT21" i="94" s="1"/>
  <c r="L21" i="94"/>
  <c r="P21" i="94" s="1"/>
  <c r="T21" i="94" s="1"/>
  <c r="X21" i="94" s="1"/>
  <c r="AB21" i="94" s="1"/>
  <c r="AN21" i="94" s="1"/>
  <c r="AR21" i="94" s="1"/>
  <c r="AX21" i="94" s="1"/>
  <c r="N17" i="94"/>
  <c r="R17" i="94" s="1"/>
  <c r="V17" i="94" s="1"/>
  <c r="Z17" i="94" s="1"/>
  <c r="AD17" i="94" s="1"/>
  <c r="L17" i="94"/>
  <c r="P17" i="94" s="1"/>
  <c r="T17" i="94" s="1"/>
  <c r="X17" i="94" s="1"/>
  <c r="AB17" i="94" s="1"/>
  <c r="D17" i="94"/>
  <c r="D23" i="94" s="1"/>
  <c r="P14" i="94"/>
  <c r="T14" i="94" s="1"/>
  <c r="X14" i="94" s="1"/>
  <c r="AB14" i="94" s="1"/>
  <c r="AN14" i="94" s="1"/>
  <c r="AR14" i="94" s="1"/>
  <c r="AX14" i="94" s="1"/>
  <c r="N14" i="94"/>
  <c r="R14" i="94" s="1"/>
  <c r="V14" i="94" s="1"/>
  <c r="Z14" i="94" s="1"/>
  <c r="AD14" i="94" s="1"/>
  <c r="L14" i="94"/>
  <c r="N12" i="94"/>
  <c r="R12" i="94" s="1"/>
  <c r="V12" i="94" s="1"/>
  <c r="Z12" i="94" s="1"/>
  <c r="AD12" i="94" s="1"/>
  <c r="AP12" i="94" s="1"/>
  <c r="AT12" i="94" s="1"/>
  <c r="L12" i="94"/>
  <c r="P12" i="94" s="1"/>
  <c r="T12" i="94" s="1"/>
  <c r="X12" i="94" s="1"/>
  <c r="AB12" i="94" s="1"/>
  <c r="N10" i="94"/>
  <c r="R10" i="94" s="1"/>
  <c r="V10" i="94" s="1"/>
  <c r="Z10" i="94" s="1"/>
  <c r="AD10" i="94" s="1"/>
  <c r="L10" i="94"/>
  <c r="P10" i="94" s="1"/>
  <c r="T10" i="94" s="1"/>
  <c r="X10" i="94" s="1"/>
  <c r="AB10" i="94" s="1"/>
  <c r="AN10" i="94" s="1"/>
  <c r="AR10" i="94" s="1"/>
  <c r="AX10" i="94" s="1"/>
  <c r="E10" i="94"/>
  <c r="E12" i="94" s="1"/>
  <c r="E13" i="94" s="1"/>
  <c r="N5" i="94"/>
  <c r="R5" i="94" s="1"/>
  <c r="V5" i="94" s="1"/>
  <c r="Z5" i="94" s="1"/>
  <c r="AD5" i="94" s="1"/>
  <c r="AP5" i="94" s="1"/>
  <c r="AT5" i="94" s="1"/>
  <c r="L5" i="94"/>
  <c r="P5" i="94" s="1"/>
  <c r="T5" i="94" s="1"/>
  <c r="X5" i="94" s="1"/>
  <c r="AB5" i="94" s="1"/>
  <c r="AN5" i="94" s="1"/>
  <c r="AR5" i="94" s="1"/>
  <c r="AX5" i="94" s="1"/>
  <c r="AD75" i="93"/>
  <c r="AD76" i="93" s="1"/>
  <c r="AD77" i="93" s="1"/>
  <c r="AD78" i="93" s="1"/>
  <c r="AD79" i="93" s="1"/>
  <c r="AD80" i="93" s="1"/>
  <c r="AD81" i="93" s="1"/>
  <c r="AD82" i="93" s="1"/>
  <c r="AD83" i="93" s="1"/>
  <c r="AD84" i="93" s="1"/>
  <c r="AD85" i="93" s="1"/>
  <c r="AD86" i="93" s="1"/>
  <c r="AD87" i="93" s="1"/>
  <c r="AD88" i="93" s="1"/>
  <c r="AD89" i="93" s="1"/>
  <c r="AD90" i="93" s="1"/>
  <c r="AD91" i="93" s="1"/>
  <c r="AD92" i="93" s="1"/>
  <c r="AD93" i="93" s="1"/>
  <c r="AD94" i="93" s="1"/>
  <c r="AD95" i="93" s="1"/>
  <c r="AD96" i="93" s="1"/>
  <c r="AD97" i="93" s="1"/>
  <c r="AD98" i="93" s="1"/>
  <c r="AD99" i="93" s="1"/>
  <c r="AD100" i="93" s="1"/>
  <c r="AD101" i="93" s="1"/>
  <c r="AD102" i="93" s="1"/>
  <c r="AD103" i="93" s="1"/>
  <c r="AD104" i="93" s="1"/>
  <c r="AD105" i="93" s="1"/>
  <c r="AD106" i="93" s="1"/>
  <c r="AF74" i="93"/>
  <c r="AG74" i="93" s="1"/>
  <c r="AE75" i="93" s="1"/>
  <c r="O72" i="93"/>
  <c r="Q70" i="93" s="1"/>
  <c r="S71" i="93"/>
  <c r="AS70" i="93"/>
  <c r="AS67" i="93"/>
  <c r="AS69" i="93" s="1"/>
  <c r="BN56" i="93"/>
  <c r="BM56" i="93"/>
  <c r="AT55" i="93"/>
  <c r="AL53" i="93"/>
  <c r="C37" i="93"/>
  <c r="C38" i="93" s="1"/>
  <c r="C39" i="93" s="1"/>
  <c r="AQ35" i="93"/>
  <c r="AR32" i="93"/>
  <c r="BS27" i="93"/>
  <c r="BS28" i="93" s="1"/>
  <c r="BS29" i="93" s="1"/>
  <c r="BS30" i="93" s="1"/>
  <c r="BS31" i="93" s="1"/>
  <c r="BS32" i="93" s="1"/>
  <c r="BS33" i="93" s="1"/>
  <c r="BS34" i="93" s="1"/>
  <c r="BS35" i="93" s="1"/>
  <c r="BS36" i="93" s="1"/>
  <c r="BS37" i="93" s="1"/>
  <c r="BS38" i="93" s="1"/>
  <c r="BS39" i="93" s="1"/>
  <c r="BS40" i="93" s="1"/>
  <c r="BS41" i="93" s="1"/>
  <c r="BS42" i="93" s="1"/>
  <c r="BS43" i="93" s="1"/>
  <c r="BS44" i="93" s="1"/>
  <c r="BS45" i="93" s="1"/>
  <c r="BS46" i="93" s="1"/>
  <c r="BS47" i="93" s="1"/>
  <c r="BS48" i="93" s="1"/>
  <c r="BS49" i="93" s="1"/>
  <c r="BS50" i="93" s="1"/>
  <c r="BS51" i="93" s="1"/>
  <c r="BS52" i="93" s="1"/>
  <c r="BS53" i="93" s="1"/>
  <c r="BS54" i="93" s="1"/>
  <c r="BS55" i="93" s="1"/>
  <c r="N27" i="93"/>
  <c r="R27" i="93" s="1"/>
  <c r="V27" i="93" s="1"/>
  <c r="Z27" i="93" s="1"/>
  <c r="AD27" i="93" s="1"/>
  <c r="AH27" i="93" s="1"/>
  <c r="AL27" i="93" s="1"/>
  <c r="L27" i="93"/>
  <c r="P27" i="93" s="1"/>
  <c r="T27" i="93" s="1"/>
  <c r="X27" i="93" s="1"/>
  <c r="AB27" i="93" s="1"/>
  <c r="AF27" i="93" s="1"/>
  <c r="AJ27" i="93" s="1"/>
  <c r="AP27" i="93" s="1"/>
  <c r="BS26" i="93"/>
  <c r="N25" i="93"/>
  <c r="R25" i="93" s="1"/>
  <c r="V25" i="93" s="1"/>
  <c r="Z25" i="93" s="1"/>
  <c r="AD25" i="93" s="1"/>
  <c r="AH25" i="93" s="1"/>
  <c r="AL25" i="93" s="1"/>
  <c r="L25" i="93"/>
  <c r="P25" i="93" s="1"/>
  <c r="T25" i="93" s="1"/>
  <c r="X25" i="93" s="1"/>
  <c r="AB25" i="93" s="1"/>
  <c r="AF25" i="93" s="1"/>
  <c r="AJ25" i="93" s="1"/>
  <c r="AP25" i="93" s="1"/>
  <c r="BW24" i="93"/>
  <c r="BW25" i="93" s="1"/>
  <c r="BW26" i="93" s="1"/>
  <c r="BW27" i="93" s="1"/>
  <c r="BW28" i="93" s="1"/>
  <c r="BW29" i="93" s="1"/>
  <c r="BW30" i="93" s="1"/>
  <c r="BW31" i="93" s="1"/>
  <c r="BW32" i="93" s="1"/>
  <c r="BW33" i="93" s="1"/>
  <c r="BW34" i="93" s="1"/>
  <c r="BW35" i="93" s="1"/>
  <c r="BW36" i="93" s="1"/>
  <c r="BW37" i="93" s="1"/>
  <c r="BW38" i="93" s="1"/>
  <c r="BW39" i="93" s="1"/>
  <c r="BW40" i="93" s="1"/>
  <c r="BW41" i="93" s="1"/>
  <c r="BW42" i="93" s="1"/>
  <c r="BW43" i="93" s="1"/>
  <c r="BW44" i="93" s="1"/>
  <c r="BW45" i="93" s="1"/>
  <c r="BW46" i="93" s="1"/>
  <c r="BW47" i="93" s="1"/>
  <c r="BW48" i="93" s="1"/>
  <c r="BW49" i="93" s="1"/>
  <c r="BW50" i="93" s="1"/>
  <c r="BW51" i="93" s="1"/>
  <c r="BW52" i="93" s="1"/>
  <c r="BW53" i="93" s="1"/>
  <c r="BW54" i="93" s="1"/>
  <c r="BW55" i="93" s="1"/>
  <c r="BI24" i="93"/>
  <c r="BI25" i="93" s="1"/>
  <c r="BI26" i="93" s="1"/>
  <c r="BI27" i="93" s="1"/>
  <c r="BI28" i="93" s="1"/>
  <c r="BI29" i="93" s="1"/>
  <c r="BI30" i="93" s="1"/>
  <c r="BI31" i="93" s="1"/>
  <c r="BI32" i="93" s="1"/>
  <c r="BI33" i="93" s="1"/>
  <c r="BI34" i="93" s="1"/>
  <c r="BI35" i="93" s="1"/>
  <c r="BI36" i="93" s="1"/>
  <c r="BI37" i="93" s="1"/>
  <c r="BI38" i="93" s="1"/>
  <c r="BI39" i="93" s="1"/>
  <c r="BI40" i="93" s="1"/>
  <c r="BI41" i="93" s="1"/>
  <c r="BI42" i="93" s="1"/>
  <c r="BI43" i="93" s="1"/>
  <c r="BI44" i="93" s="1"/>
  <c r="BI45" i="93" s="1"/>
  <c r="BI46" i="93" s="1"/>
  <c r="BI47" i="93" s="1"/>
  <c r="BI48" i="93" s="1"/>
  <c r="BI49" i="93" s="1"/>
  <c r="BI50" i="93" s="1"/>
  <c r="BI51" i="93" s="1"/>
  <c r="BI52" i="93" s="1"/>
  <c r="BI53" i="93" s="1"/>
  <c r="BI54" i="93" s="1"/>
  <c r="BI55" i="93" s="1"/>
  <c r="BE24" i="93"/>
  <c r="BE25" i="93" s="1"/>
  <c r="BE26" i="93" s="1"/>
  <c r="BE27" i="93" s="1"/>
  <c r="BE28" i="93" s="1"/>
  <c r="BE29" i="93" s="1"/>
  <c r="BE30" i="93" s="1"/>
  <c r="BE31" i="93" s="1"/>
  <c r="BE32" i="93" s="1"/>
  <c r="BE33" i="93" s="1"/>
  <c r="BE34" i="93" s="1"/>
  <c r="BE35" i="93" s="1"/>
  <c r="BE36" i="93" s="1"/>
  <c r="BE37" i="93" s="1"/>
  <c r="BE38" i="93" s="1"/>
  <c r="BE39" i="93" s="1"/>
  <c r="BE40" i="93" s="1"/>
  <c r="BE41" i="93" s="1"/>
  <c r="BE42" i="93" s="1"/>
  <c r="BE43" i="93" s="1"/>
  <c r="BE44" i="93" s="1"/>
  <c r="BE45" i="93" s="1"/>
  <c r="BE46" i="93" s="1"/>
  <c r="BE47" i="93" s="1"/>
  <c r="BE48" i="93" s="1"/>
  <c r="BE49" i="93" s="1"/>
  <c r="BE50" i="93" s="1"/>
  <c r="BE51" i="93" s="1"/>
  <c r="BE52" i="93" s="1"/>
  <c r="BE53" i="93" s="1"/>
  <c r="BE54" i="93" s="1"/>
  <c r="BE55" i="93" s="1"/>
  <c r="BC24" i="93"/>
  <c r="BC25" i="93" s="1"/>
  <c r="BC26" i="93" s="1"/>
  <c r="BC27" i="93" s="1"/>
  <c r="BC28" i="93" s="1"/>
  <c r="BC29" i="93" s="1"/>
  <c r="BC30" i="93" s="1"/>
  <c r="BC31" i="93" s="1"/>
  <c r="BC32" i="93" s="1"/>
  <c r="BC33" i="93" s="1"/>
  <c r="BC34" i="93" s="1"/>
  <c r="BC35" i="93" s="1"/>
  <c r="BC36" i="93" s="1"/>
  <c r="BC37" i="93" s="1"/>
  <c r="BC38" i="93" s="1"/>
  <c r="BC39" i="93" s="1"/>
  <c r="BC40" i="93" s="1"/>
  <c r="BC41" i="93" s="1"/>
  <c r="BC42" i="93" s="1"/>
  <c r="BC43" i="93" s="1"/>
  <c r="BC44" i="93" s="1"/>
  <c r="BC45" i="93" s="1"/>
  <c r="BC46" i="93" s="1"/>
  <c r="BC47" i="93" s="1"/>
  <c r="BC48" i="93" s="1"/>
  <c r="BC49" i="93" s="1"/>
  <c r="BC50" i="93" s="1"/>
  <c r="BC51" i="93" s="1"/>
  <c r="BC52" i="93" s="1"/>
  <c r="BC53" i="93" s="1"/>
  <c r="BC54" i="93" s="1"/>
  <c r="BC55" i="93" s="1"/>
  <c r="BF23" i="93"/>
  <c r="BD24" i="93" s="1"/>
  <c r="N23" i="93"/>
  <c r="R23" i="93" s="1"/>
  <c r="V23" i="93" s="1"/>
  <c r="Z23" i="93" s="1"/>
  <c r="AD23" i="93" s="1"/>
  <c r="AH23" i="93" s="1"/>
  <c r="AL23" i="93" s="1"/>
  <c r="L23" i="93"/>
  <c r="P23" i="93" s="1"/>
  <c r="T23" i="93" s="1"/>
  <c r="X23" i="93" s="1"/>
  <c r="AB23" i="93" s="1"/>
  <c r="AF23" i="93" s="1"/>
  <c r="AJ23" i="93" s="1"/>
  <c r="AP23" i="93" s="1"/>
  <c r="N21" i="93"/>
  <c r="R21" i="93" s="1"/>
  <c r="V21" i="93" s="1"/>
  <c r="Z21" i="93" s="1"/>
  <c r="AD21" i="93" s="1"/>
  <c r="AH21" i="93" s="1"/>
  <c r="AL21" i="93" s="1"/>
  <c r="L21" i="93"/>
  <c r="P21" i="93" s="1"/>
  <c r="T21" i="93" s="1"/>
  <c r="X21" i="93" s="1"/>
  <c r="AB21" i="93" s="1"/>
  <c r="AF21" i="93" s="1"/>
  <c r="AJ21" i="93" s="1"/>
  <c r="AP21" i="93" s="1"/>
  <c r="N17" i="93"/>
  <c r="R17" i="93" s="1"/>
  <c r="V17" i="93" s="1"/>
  <c r="Z17" i="93" s="1"/>
  <c r="AD17" i="93" s="1"/>
  <c r="AH17" i="93" s="1"/>
  <c r="AL17" i="93" s="1"/>
  <c r="L17" i="93"/>
  <c r="P17" i="93" s="1"/>
  <c r="T17" i="93" s="1"/>
  <c r="X17" i="93" s="1"/>
  <c r="AB17" i="93" s="1"/>
  <c r="AF17" i="93" s="1"/>
  <c r="AJ17" i="93" s="1"/>
  <c r="AP17" i="93" s="1"/>
  <c r="D17" i="93"/>
  <c r="D23" i="93" s="1"/>
  <c r="N14" i="93"/>
  <c r="R14" i="93" s="1"/>
  <c r="V14" i="93" s="1"/>
  <c r="Z14" i="93" s="1"/>
  <c r="AD14" i="93" s="1"/>
  <c r="AH14" i="93" s="1"/>
  <c r="AL14" i="93" s="1"/>
  <c r="L14" i="93"/>
  <c r="P14" i="93" s="1"/>
  <c r="T14" i="93" s="1"/>
  <c r="X14" i="93" s="1"/>
  <c r="AB14" i="93" s="1"/>
  <c r="AF14" i="93" s="1"/>
  <c r="AJ14" i="93" s="1"/>
  <c r="AP14" i="93" s="1"/>
  <c r="Z12" i="93"/>
  <c r="AD12" i="93" s="1"/>
  <c r="AH12" i="93" s="1"/>
  <c r="AL12" i="93" s="1"/>
  <c r="N12" i="93"/>
  <c r="R12" i="93" s="1"/>
  <c r="V12" i="93" s="1"/>
  <c r="L12" i="93"/>
  <c r="P12" i="93" s="1"/>
  <c r="T12" i="93" s="1"/>
  <c r="X12" i="93" s="1"/>
  <c r="AB12" i="93" s="1"/>
  <c r="AF12" i="93" s="1"/>
  <c r="AJ12" i="93" s="1"/>
  <c r="AP12" i="93" s="1"/>
  <c r="V10" i="93"/>
  <c r="Z10" i="93" s="1"/>
  <c r="AD10" i="93" s="1"/>
  <c r="AH10" i="93" s="1"/>
  <c r="AL10" i="93" s="1"/>
  <c r="N10" i="93"/>
  <c r="R10" i="93" s="1"/>
  <c r="L10" i="93"/>
  <c r="P10" i="93" s="1"/>
  <c r="T10" i="93" s="1"/>
  <c r="X10" i="93" s="1"/>
  <c r="AB10" i="93" s="1"/>
  <c r="AF10" i="93" s="1"/>
  <c r="AJ10" i="93" s="1"/>
  <c r="AP10" i="93" s="1"/>
  <c r="E10" i="93"/>
  <c r="E12" i="93" s="1"/>
  <c r="E13" i="93" s="1"/>
  <c r="R5" i="93"/>
  <c r="V5" i="93" s="1"/>
  <c r="Z5" i="93" s="1"/>
  <c r="AD5" i="93" s="1"/>
  <c r="AH5" i="93" s="1"/>
  <c r="AL5" i="93" s="1"/>
  <c r="N5" i="93"/>
  <c r="L5" i="93"/>
  <c r="P5" i="93" s="1"/>
  <c r="T5" i="93" s="1"/>
  <c r="X5" i="93" s="1"/>
  <c r="AB5" i="93" s="1"/>
  <c r="AF5" i="93" s="1"/>
  <c r="AJ5" i="93" s="1"/>
  <c r="AP5" i="93" s="1"/>
  <c r="AD75" i="92"/>
  <c r="AD76" i="92" s="1"/>
  <c r="AD77" i="92" s="1"/>
  <c r="AD78" i="92" s="1"/>
  <c r="AD80" i="92" s="1"/>
  <c r="AD81" i="92" s="1"/>
  <c r="AD82" i="92" s="1"/>
  <c r="AD83" i="92" s="1"/>
  <c r="AD84" i="92" s="1"/>
  <c r="AD85" i="92" s="1"/>
  <c r="AD86" i="92" s="1"/>
  <c r="AD87" i="92" s="1"/>
  <c r="AD88" i="92" s="1"/>
  <c r="AD89" i="92" s="1"/>
  <c r="AD90" i="92" s="1"/>
  <c r="AD91" i="92" s="1"/>
  <c r="AD92" i="92" s="1"/>
  <c r="AD93" i="92" s="1"/>
  <c r="AD94" i="92" s="1"/>
  <c r="AD95" i="92" s="1"/>
  <c r="AD96" i="92" s="1"/>
  <c r="AD97" i="92" s="1"/>
  <c r="AD98" i="92" s="1"/>
  <c r="AD99" i="92" s="1"/>
  <c r="AD100" i="92" s="1"/>
  <c r="AD101" i="92" s="1"/>
  <c r="AD102" i="92" s="1"/>
  <c r="AD103" i="92" s="1"/>
  <c r="AD104" i="92" s="1"/>
  <c r="AD105" i="92" s="1"/>
  <c r="AD106" i="92" s="1"/>
  <c r="AD107" i="92" s="1"/>
  <c r="AF74" i="92"/>
  <c r="AF75" i="92" s="1"/>
  <c r="AF76" i="92" s="1"/>
  <c r="AF77" i="92" s="1"/>
  <c r="AF78" i="92" s="1"/>
  <c r="AF80" i="92" s="1"/>
  <c r="AF81" i="92" s="1"/>
  <c r="AF82" i="92" s="1"/>
  <c r="AF83" i="92" s="1"/>
  <c r="AF84" i="92" s="1"/>
  <c r="AF85" i="92" s="1"/>
  <c r="AF86" i="92" s="1"/>
  <c r="AF87" i="92" s="1"/>
  <c r="AF88" i="92" s="1"/>
  <c r="AF89" i="92" s="1"/>
  <c r="AF90" i="92" s="1"/>
  <c r="AF91" i="92" s="1"/>
  <c r="AF92" i="92" s="1"/>
  <c r="AF93" i="92" s="1"/>
  <c r="AF94" i="92" s="1"/>
  <c r="AF95" i="92" s="1"/>
  <c r="AF96" i="92" s="1"/>
  <c r="AF97" i="92" s="1"/>
  <c r="AF98" i="92" s="1"/>
  <c r="AF99" i="92" s="1"/>
  <c r="AF100" i="92" s="1"/>
  <c r="AF101" i="92" s="1"/>
  <c r="AF102" i="92" s="1"/>
  <c r="AF103" i="92" s="1"/>
  <c r="AF104" i="92" s="1"/>
  <c r="AF105" i="92" s="1"/>
  <c r="AF106" i="92" s="1"/>
  <c r="AF107" i="92" s="1"/>
  <c r="O72" i="92"/>
  <c r="Q70" i="92" s="1"/>
  <c r="S71" i="92"/>
  <c r="AS67" i="92"/>
  <c r="AS69" i="92" s="1"/>
  <c r="AS70" i="92" s="1"/>
  <c r="BN56" i="92"/>
  <c r="BM56" i="92"/>
  <c r="AT55" i="92"/>
  <c r="AL53" i="92"/>
  <c r="C37" i="92"/>
  <c r="C38" i="92" s="1"/>
  <c r="C39" i="92" s="1"/>
  <c r="AQ35" i="92"/>
  <c r="AR32" i="92"/>
  <c r="N27" i="92"/>
  <c r="R27" i="92" s="1"/>
  <c r="V27" i="92" s="1"/>
  <c r="Z27" i="92" s="1"/>
  <c r="AD27" i="92" s="1"/>
  <c r="AH27" i="92" s="1"/>
  <c r="AL27" i="92" s="1"/>
  <c r="L27" i="92"/>
  <c r="P27" i="92" s="1"/>
  <c r="T27" i="92" s="1"/>
  <c r="X27" i="92" s="1"/>
  <c r="AB27" i="92" s="1"/>
  <c r="AF27" i="92" s="1"/>
  <c r="AJ27" i="92" s="1"/>
  <c r="AP27" i="92" s="1"/>
  <c r="BS26" i="92"/>
  <c r="BS27" i="92" s="1"/>
  <c r="BS28" i="92" s="1"/>
  <c r="BS29" i="92" s="1"/>
  <c r="BS30" i="92" s="1"/>
  <c r="BS31" i="92" s="1"/>
  <c r="BS32" i="92" s="1"/>
  <c r="BS33" i="92" s="1"/>
  <c r="BS34" i="92" s="1"/>
  <c r="BS35" i="92" s="1"/>
  <c r="BS36" i="92" s="1"/>
  <c r="BS37" i="92" s="1"/>
  <c r="BS38" i="92" s="1"/>
  <c r="BS39" i="92" s="1"/>
  <c r="BS40" i="92" s="1"/>
  <c r="BS41" i="92" s="1"/>
  <c r="BS42" i="92" s="1"/>
  <c r="BS43" i="92" s="1"/>
  <c r="BS44" i="92" s="1"/>
  <c r="BS45" i="92" s="1"/>
  <c r="BS46" i="92" s="1"/>
  <c r="BS47" i="92" s="1"/>
  <c r="BS48" i="92" s="1"/>
  <c r="BS49" i="92" s="1"/>
  <c r="BS50" i="92" s="1"/>
  <c r="BS51" i="92" s="1"/>
  <c r="BS52" i="92" s="1"/>
  <c r="BS53" i="92" s="1"/>
  <c r="BS54" i="92" s="1"/>
  <c r="BS55" i="92" s="1"/>
  <c r="N25" i="92"/>
  <c r="R25" i="92" s="1"/>
  <c r="V25" i="92" s="1"/>
  <c r="Z25" i="92" s="1"/>
  <c r="AD25" i="92" s="1"/>
  <c r="AH25" i="92" s="1"/>
  <c r="AL25" i="92" s="1"/>
  <c r="L25" i="92"/>
  <c r="P25" i="92" s="1"/>
  <c r="T25" i="92" s="1"/>
  <c r="X25" i="92" s="1"/>
  <c r="AB25" i="92" s="1"/>
  <c r="AF25" i="92" s="1"/>
  <c r="AJ25" i="92" s="1"/>
  <c r="AP25" i="92" s="1"/>
  <c r="BW24" i="92"/>
  <c r="BW25" i="92" s="1"/>
  <c r="BW26" i="92" s="1"/>
  <c r="BW27" i="92" s="1"/>
  <c r="BW28" i="92" s="1"/>
  <c r="BW29" i="92" s="1"/>
  <c r="BW30" i="92" s="1"/>
  <c r="BW31" i="92" s="1"/>
  <c r="BW32" i="92" s="1"/>
  <c r="BW33" i="92" s="1"/>
  <c r="BW34" i="92" s="1"/>
  <c r="BW35" i="92" s="1"/>
  <c r="BW36" i="92" s="1"/>
  <c r="BW37" i="92" s="1"/>
  <c r="BW38" i="92" s="1"/>
  <c r="BW39" i="92" s="1"/>
  <c r="BW40" i="92" s="1"/>
  <c r="BW41" i="92" s="1"/>
  <c r="BW42" i="92" s="1"/>
  <c r="BW43" i="92" s="1"/>
  <c r="BW44" i="92" s="1"/>
  <c r="BW45" i="92" s="1"/>
  <c r="BW46" i="92" s="1"/>
  <c r="BW47" i="92" s="1"/>
  <c r="BW48" i="92" s="1"/>
  <c r="BW49" i="92" s="1"/>
  <c r="BW50" i="92" s="1"/>
  <c r="BW51" i="92" s="1"/>
  <c r="BW52" i="92" s="1"/>
  <c r="BW53" i="92" s="1"/>
  <c r="BW54" i="92" s="1"/>
  <c r="BW55" i="92" s="1"/>
  <c r="BI24" i="92"/>
  <c r="BI25" i="92" s="1"/>
  <c r="BI26" i="92" s="1"/>
  <c r="BI27" i="92" s="1"/>
  <c r="BI28" i="92" s="1"/>
  <c r="BI29" i="92" s="1"/>
  <c r="BI30" i="92" s="1"/>
  <c r="BI31" i="92" s="1"/>
  <c r="BI32" i="92" s="1"/>
  <c r="BI33" i="92" s="1"/>
  <c r="BI34" i="92" s="1"/>
  <c r="BI35" i="92" s="1"/>
  <c r="BI36" i="92" s="1"/>
  <c r="BI37" i="92" s="1"/>
  <c r="BI38" i="92" s="1"/>
  <c r="BI39" i="92" s="1"/>
  <c r="BI40" i="92" s="1"/>
  <c r="BI41" i="92" s="1"/>
  <c r="BI42" i="92" s="1"/>
  <c r="BI43" i="92" s="1"/>
  <c r="BI44" i="92" s="1"/>
  <c r="BI45" i="92" s="1"/>
  <c r="BI46" i="92" s="1"/>
  <c r="BI47" i="92" s="1"/>
  <c r="BI48" i="92" s="1"/>
  <c r="BI49" i="92" s="1"/>
  <c r="BI50" i="92" s="1"/>
  <c r="BI51" i="92" s="1"/>
  <c r="BI52" i="92" s="1"/>
  <c r="BI53" i="92" s="1"/>
  <c r="BI54" i="92" s="1"/>
  <c r="BI55" i="92" s="1"/>
  <c r="BE24" i="92"/>
  <c r="BE25" i="92" s="1"/>
  <c r="BE26" i="92" s="1"/>
  <c r="BE27" i="92" s="1"/>
  <c r="BE28" i="92" s="1"/>
  <c r="BE29" i="92" s="1"/>
  <c r="BE30" i="92" s="1"/>
  <c r="BE31" i="92" s="1"/>
  <c r="BE32" i="92" s="1"/>
  <c r="BE33" i="92" s="1"/>
  <c r="BE34" i="92" s="1"/>
  <c r="BE35" i="92" s="1"/>
  <c r="BE36" i="92" s="1"/>
  <c r="BE37" i="92" s="1"/>
  <c r="BE38" i="92" s="1"/>
  <c r="BE39" i="92" s="1"/>
  <c r="BE40" i="92" s="1"/>
  <c r="BE41" i="92" s="1"/>
  <c r="BE42" i="92" s="1"/>
  <c r="BE43" i="92" s="1"/>
  <c r="BE44" i="92" s="1"/>
  <c r="BE45" i="92" s="1"/>
  <c r="BE46" i="92" s="1"/>
  <c r="BE47" i="92" s="1"/>
  <c r="BE48" i="92" s="1"/>
  <c r="BE49" i="92" s="1"/>
  <c r="BE50" i="92" s="1"/>
  <c r="BE51" i="92" s="1"/>
  <c r="BE52" i="92" s="1"/>
  <c r="BE53" i="92" s="1"/>
  <c r="BE54" i="92" s="1"/>
  <c r="BE55" i="92" s="1"/>
  <c r="BC24" i="92"/>
  <c r="BC25" i="92" s="1"/>
  <c r="BC26" i="92" s="1"/>
  <c r="BC27" i="92" s="1"/>
  <c r="BC28" i="92" s="1"/>
  <c r="BC29" i="92" s="1"/>
  <c r="BC30" i="92" s="1"/>
  <c r="BC31" i="92" s="1"/>
  <c r="BC32" i="92" s="1"/>
  <c r="BC33" i="92" s="1"/>
  <c r="BC34" i="92" s="1"/>
  <c r="BC35" i="92" s="1"/>
  <c r="BC36" i="92" s="1"/>
  <c r="BC37" i="92" s="1"/>
  <c r="BC38" i="92" s="1"/>
  <c r="BC39" i="92" s="1"/>
  <c r="BC40" i="92" s="1"/>
  <c r="BC41" i="92" s="1"/>
  <c r="BC42" i="92" s="1"/>
  <c r="BC43" i="92" s="1"/>
  <c r="BC44" i="92" s="1"/>
  <c r="BC45" i="92" s="1"/>
  <c r="BC46" i="92" s="1"/>
  <c r="BC47" i="92" s="1"/>
  <c r="BC48" i="92" s="1"/>
  <c r="BC49" i="92" s="1"/>
  <c r="BC50" i="92" s="1"/>
  <c r="BC51" i="92" s="1"/>
  <c r="BC52" i="92" s="1"/>
  <c r="BC53" i="92" s="1"/>
  <c r="BC54" i="92" s="1"/>
  <c r="BC55" i="92" s="1"/>
  <c r="BF23" i="92"/>
  <c r="BD24" i="92" s="1"/>
  <c r="N23" i="92"/>
  <c r="R23" i="92" s="1"/>
  <c r="V23" i="92" s="1"/>
  <c r="Z23" i="92" s="1"/>
  <c r="AD23" i="92" s="1"/>
  <c r="AH23" i="92" s="1"/>
  <c r="AL23" i="92" s="1"/>
  <c r="L23" i="92"/>
  <c r="P23" i="92" s="1"/>
  <c r="T23" i="92" s="1"/>
  <c r="X23" i="92" s="1"/>
  <c r="AB23" i="92" s="1"/>
  <c r="AF23" i="92" s="1"/>
  <c r="AJ23" i="92" s="1"/>
  <c r="AP23" i="92" s="1"/>
  <c r="N21" i="92"/>
  <c r="R21" i="92" s="1"/>
  <c r="V21" i="92" s="1"/>
  <c r="Z21" i="92" s="1"/>
  <c r="AD21" i="92" s="1"/>
  <c r="AH21" i="92" s="1"/>
  <c r="AL21" i="92" s="1"/>
  <c r="L21" i="92"/>
  <c r="P21" i="92" s="1"/>
  <c r="T21" i="92" s="1"/>
  <c r="X21" i="92" s="1"/>
  <c r="AB21" i="92" s="1"/>
  <c r="AF21" i="92" s="1"/>
  <c r="AJ21" i="92" s="1"/>
  <c r="AP21" i="92" s="1"/>
  <c r="N17" i="92"/>
  <c r="R17" i="92" s="1"/>
  <c r="V17" i="92" s="1"/>
  <c r="Z17" i="92" s="1"/>
  <c r="AD17" i="92" s="1"/>
  <c r="AH17" i="92" s="1"/>
  <c r="AL17" i="92" s="1"/>
  <c r="L17" i="92"/>
  <c r="P17" i="92" s="1"/>
  <c r="T17" i="92" s="1"/>
  <c r="X17" i="92" s="1"/>
  <c r="AB17" i="92" s="1"/>
  <c r="AF17" i="92" s="1"/>
  <c r="AJ17" i="92" s="1"/>
  <c r="AP17" i="92" s="1"/>
  <c r="D17" i="92"/>
  <c r="D23" i="92" s="1"/>
  <c r="N14" i="92"/>
  <c r="R14" i="92" s="1"/>
  <c r="V14" i="92" s="1"/>
  <c r="Z14" i="92" s="1"/>
  <c r="AD14" i="92" s="1"/>
  <c r="AH14" i="92" s="1"/>
  <c r="AL14" i="92" s="1"/>
  <c r="L14" i="92"/>
  <c r="P14" i="92" s="1"/>
  <c r="T14" i="92" s="1"/>
  <c r="X14" i="92" s="1"/>
  <c r="AB14" i="92" s="1"/>
  <c r="AF14" i="92" s="1"/>
  <c r="AJ14" i="92" s="1"/>
  <c r="AP14" i="92" s="1"/>
  <c r="N12" i="92"/>
  <c r="R12" i="92" s="1"/>
  <c r="V12" i="92" s="1"/>
  <c r="Z12" i="92" s="1"/>
  <c r="AD12" i="92" s="1"/>
  <c r="AH12" i="92" s="1"/>
  <c r="AL12" i="92" s="1"/>
  <c r="L12" i="92"/>
  <c r="P12" i="92" s="1"/>
  <c r="T12" i="92" s="1"/>
  <c r="X12" i="92" s="1"/>
  <c r="AB12" i="92" s="1"/>
  <c r="AF12" i="92" s="1"/>
  <c r="AJ12" i="92" s="1"/>
  <c r="AP12" i="92" s="1"/>
  <c r="N10" i="92"/>
  <c r="R10" i="92" s="1"/>
  <c r="V10" i="92" s="1"/>
  <c r="Z10" i="92" s="1"/>
  <c r="AD10" i="92" s="1"/>
  <c r="AH10" i="92" s="1"/>
  <c r="AL10" i="92" s="1"/>
  <c r="L10" i="92"/>
  <c r="P10" i="92" s="1"/>
  <c r="T10" i="92" s="1"/>
  <c r="X10" i="92" s="1"/>
  <c r="AB10" i="92" s="1"/>
  <c r="AF10" i="92" s="1"/>
  <c r="AJ10" i="92" s="1"/>
  <c r="AP10" i="92" s="1"/>
  <c r="E10" i="92"/>
  <c r="E12" i="92" s="1"/>
  <c r="E13" i="92" s="1"/>
  <c r="P5" i="92"/>
  <c r="T5" i="92" s="1"/>
  <c r="X5" i="92" s="1"/>
  <c r="AB5" i="92" s="1"/>
  <c r="AF5" i="92" s="1"/>
  <c r="AJ5" i="92" s="1"/>
  <c r="AP5" i="92" s="1"/>
  <c r="N5" i="92"/>
  <c r="R5" i="92" s="1"/>
  <c r="V5" i="92" s="1"/>
  <c r="Z5" i="92" s="1"/>
  <c r="AD5" i="92" s="1"/>
  <c r="AH5" i="92" s="1"/>
  <c r="AL5" i="92" s="1"/>
  <c r="L5" i="92"/>
  <c r="D17" i="89"/>
  <c r="BF42" i="117" l="1"/>
  <c r="BD43" i="117" s="1"/>
  <c r="AG93" i="117"/>
  <c r="AE94" i="117" s="1"/>
  <c r="BT41" i="117"/>
  <c r="BR42" i="117"/>
  <c r="J162" i="116"/>
  <c r="O160" i="116"/>
  <c r="S160" i="116" s="1"/>
  <c r="V160" i="116" s="1"/>
  <c r="AF160" i="116" s="1"/>
  <c r="AF10" i="94"/>
  <c r="AJ10" i="94" s="1"/>
  <c r="AF14" i="94"/>
  <c r="AJ14" i="94" s="1"/>
  <c r="AF25" i="106"/>
  <c r="AJ25" i="106" s="1"/>
  <c r="AN25" i="106" s="1"/>
  <c r="AR25" i="106" s="1"/>
  <c r="AV25" i="106" s="1"/>
  <c r="AZ25" i="106" s="1"/>
  <c r="DP25" i="107"/>
  <c r="DR25" i="107" s="1"/>
  <c r="DP26" i="107" s="1"/>
  <c r="AH25" i="94"/>
  <c r="AL25" i="94" s="1"/>
  <c r="Z26" i="115"/>
  <c r="AL6" i="115" s="1"/>
  <c r="Z27" i="115"/>
  <c r="AB22" i="115"/>
  <c r="AC18" i="115"/>
  <c r="X31" i="115"/>
  <c r="X32" i="115" s="1"/>
  <c r="AT11" i="115"/>
  <c r="AA24" i="115"/>
  <c r="AA23" i="115"/>
  <c r="AA26" i="115" s="1"/>
  <c r="AA27" i="115" s="1"/>
  <c r="AW16" i="115"/>
  <c r="AT16" i="115"/>
  <c r="BE28" i="115"/>
  <c r="BB5" i="115" s="1"/>
  <c r="BE29" i="115"/>
  <c r="BC5" i="115" s="1"/>
  <c r="BE30" i="115"/>
  <c r="BD5" i="115" s="1"/>
  <c r="AG80" i="113"/>
  <c r="AE81" i="113"/>
  <c r="BF29" i="113"/>
  <c r="BD30" i="113" s="1"/>
  <c r="DR29" i="112"/>
  <c r="DP30" i="112" s="1"/>
  <c r="C43" i="112"/>
  <c r="AG79" i="112"/>
  <c r="AE80" i="112"/>
  <c r="AP17" i="94"/>
  <c r="AT17" i="94" s="1"/>
  <c r="AH17" i="94"/>
  <c r="AL17" i="94" s="1"/>
  <c r="BN12" i="101"/>
  <c r="BR12" i="101" s="1"/>
  <c r="AH12" i="101"/>
  <c r="AL12" i="101" s="1"/>
  <c r="AP12" i="101" s="1"/>
  <c r="AT12" i="101" s="1"/>
  <c r="BF12" i="101" s="1"/>
  <c r="BJ12" i="101" s="1"/>
  <c r="AH23" i="95"/>
  <c r="AL23" i="95" s="1"/>
  <c r="AP23" i="95"/>
  <c r="AT23" i="95" s="1"/>
  <c r="BD17" i="98"/>
  <c r="BH17" i="98" s="1"/>
  <c r="AV17" i="98"/>
  <c r="AZ17" i="98" s="1"/>
  <c r="BN27" i="100"/>
  <c r="BR27" i="100" s="1"/>
  <c r="AH27" i="100"/>
  <c r="AL27" i="100" s="1"/>
  <c r="AP27" i="100" s="1"/>
  <c r="AT27" i="100" s="1"/>
  <c r="AX27" i="100" s="1"/>
  <c r="BB27" i="100" s="1"/>
  <c r="AG74" i="107"/>
  <c r="AE75" i="107" s="1"/>
  <c r="AF75" i="107"/>
  <c r="AF76" i="107" s="1"/>
  <c r="AF77" i="107" s="1"/>
  <c r="AF78" i="107" s="1"/>
  <c r="AF79" i="107" s="1"/>
  <c r="AF80" i="107" s="1"/>
  <c r="AF81" i="107" s="1"/>
  <c r="AF82" i="107" s="1"/>
  <c r="AF83" i="107" s="1"/>
  <c r="AF84" i="107" s="1"/>
  <c r="AF85" i="107" s="1"/>
  <c r="AF86" i="107" s="1"/>
  <c r="AF87" i="107" s="1"/>
  <c r="AF88" i="107" s="1"/>
  <c r="AF89" i="107" s="1"/>
  <c r="AF90" i="107" s="1"/>
  <c r="AF91" i="107" s="1"/>
  <c r="AF92" i="107" s="1"/>
  <c r="AF93" i="107" s="1"/>
  <c r="AF94" i="107" s="1"/>
  <c r="AF95" i="107" s="1"/>
  <c r="AF96" i="107" s="1"/>
  <c r="AF97" i="107" s="1"/>
  <c r="AF98" i="107" s="1"/>
  <c r="AF99" i="107" s="1"/>
  <c r="AF100" i="107" s="1"/>
  <c r="AF101" i="107" s="1"/>
  <c r="AF102" i="107" s="1"/>
  <c r="AF103" i="107" s="1"/>
  <c r="AF104" i="107" s="1"/>
  <c r="AF105" i="107" s="1"/>
  <c r="AF106" i="107" s="1"/>
  <c r="AP14" i="94"/>
  <c r="AT14" i="94" s="1"/>
  <c r="AH14" i="94"/>
  <c r="AL14" i="94" s="1"/>
  <c r="AF5" i="94"/>
  <c r="AJ5" i="94" s="1"/>
  <c r="AF25" i="94"/>
  <c r="AJ25" i="94" s="1"/>
  <c r="AF75" i="101"/>
  <c r="AF76" i="101" s="1"/>
  <c r="AF77" i="101" s="1"/>
  <c r="AF78" i="101" s="1"/>
  <c r="AF79" i="101" s="1"/>
  <c r="AF80" i="101" s="1"/>
  <c r="AF81" i="101" s="1"/>
  <c r="AF82" i="101" s="1"/>
  <c r="AF83" i="101" s="1"/>
  <c r="AF84" i="101" s="1"/>
  <c r="AF85" i="101" s="1"/>
  <c r="AF86" i="101" s="1"/>
  <c r="AF87" i="101" s="1"/>
  <c r="AF88" i="101" s="1"/>
  <c r="AF89" i="101" s="1"/>
  <c r="AF90" i="101" s="1"/>
  <c r="AF91" i="101" s="1"/>
  <c r="AF92" i="101" s="1"/>
  <c r="AF93" i="101" s="1"/>
  <c r="AF94" i="101" s="1"/>
  <c r="AF95" i="101" s="1"/>
  <c r="AF96" i="101" s="1"/>
  <c r="AF97" i="101" s="1"/>
  <c r="AF98" i="101" s="1"/>
  <c r="AF99" i="101" s="1"/>
  <c r="AF100" i="101" s="1"/>
  <c r="AF101" i="101" s="1"/>
  <c r="AF102" i="101" s="1"/>
  <c r="AF103" i="101" s="1"/>
  <c r="AF104" i="101" s="1"/>
  <c r="AF105" i="101" s="1"/>
  <c r="AF106" i="101" s="1"/>
  <c r="AG74" i="101"/>
  <c r="AE75" i="101" s="1"/>
  <c r="AG75" i="101" s="1"/>
  <c r="AX27" i="102"/>
  <c r="BB27" i="102" s="1"/>
  <c r="BF27" i="102"/>
  <c r="BJ27" i="102" s="1"/>
  <c r="AH5" i="94"/>
  <c r="AL5" i="94" s="1"/>
  <c r="AN10" i="95"/>
  <c r="AR10" i="95" s="1"/>
  <c r="AX10" i="95" s="1"/>
  <c r="AF10" i="95"/>
  <c r="AJ10" i="95" s="1"/>
  <c r="BF21" i="98"/>
  <c r="BJ21" i="98" s="1"/>
  <c r="AX21" i="98"/>
  <c r="BB21" i="98" s="1"/>
  <c r="AX5" i="98"/>
  <c r="BB5" i="98" s="1"/>
  <c r="AP23" i="94"/>
  <c r="AT23" i="94" s="1"/>
  <c r="AH23" i="94"/>
  <c r="AL23" i="94" s="1"/>
  <c r="BN24" i="95"/>
  <c r="BL25" i="95"/>
  <c r="AN23" i="94"/>
  <c r="AR23" i="94" s="1"/>
  <c r="AX23" i="94" s="1"/>
  <c r="AF23" i="94"/>
  <c r="AJ23" i="94" s="1"/>
  <c r="AP10" i="94"/>
  <c r="AT10" i="94" s="1"/>
  <c r="AH10" i="94"/>
  <c r="AL10" i="94" s="1"/>
  <c r="AN12" i="94"/>
  <c r="AR12" i="94" s="1"/>
  <c r="AX12" i="94" s="1"/>
  <c r="AF12" i="94"/>
  <c r="AJ12" i="94" s="1"/>
  <c r="AP27" i="94"/>
  <c r="AT27" i="94" s="1"/>
  <c r="AH27" i="94"/>
  <c r="AL27" i="94" s="1"/>
  <c r="AF75" i="96"/>
  <c r="AF76" i="96" s="1"/>
  <c r="AF77" i="96" s="1"/>
  <c r="AF78" i="96" s="1"/>
  <c r="AF79" i="96" s="1"/>
  <c r="AF80" i="96" s="1"/>
  <c r="AF81" i="96" s="1"/>
  <c r="AF82" i="96" s="1"/>
  <c r="AF83" i="96" s="1"/>
  <c r="AF84" i="96" s="1"/>
  <c r="AF85" i="96" s="1"/>
  <c r="AF86" i="96" s="1"/>
  <c r="AF87" i="96" s="1"/>
  <c r="AF88" i="96" s="1"/>
  <c r="AF89" i="96" s="1"/>
  <c r="AF90" i="96" s="1"/>
  <c r="AF91" i="96" s="1"/>
  <c r="AF92" i="96" s="1"/>
  <c r="AF93" i="96" s="1"/>
  <c r="AF94" i="96" s="1"/>
  <c r="AF95" i="96" s="1"/>
  <c r="AF96" i="96" s="1"/>
  <c r="AF97" i="96" s="1"/>
  <c r="AF98" i="96" s="1"/>
  <c r="AF99" i="96" s="1"/>
  <c r="AF100" i="96" s="1"/>
  <c r="AF101" i="96" s="1"/>
  <c r="AF102" i="96" s="1"/>
  <c r="AF103" i="96" s="1"/>
  <c r="AF104" i="96" s="1"/>
  <c r="AF105" i="96" s="1"/>
  <c r="AF106" i="96" s="1"/>
  <c r="AG74" i="96"/>
  <c r="AE75" i="96" s="1"/>
  <c r="AG75" i="96" s="1"/>
  <c r="BN17" i="102"/>
  <c r="BR17" i="102" s="1"/>
  <c r="AH17" i="102"/>
  <c r="AL17" i="102" s="1"/>
  <c r="AP17" i="102" s="1"/>
  <c r="AT17" i="102" s="1"/>
  <c r="AX17" i="102" s="1"/>
  <c r="BB17" i="102" s="1"/>
  <c r="AN17" i="94"/>
  <c r="AR17" i="94" s="1"/>
  <c r="AX17" i="94" s="1"/>
  <c r="AF17" i="94"/>
  <c r="AJ17" i="94" s="1"/>
  <c r="AF21" i="94"/>
  <c r="AJ21" i="94" s="1"/>
  <c r="AF75" i="95"/>
  <c r="AF76" i="95" s="1"/>
  <c r="AF77" i="95" s="1"/>
  <c r="AF78" i="95" s="1"/>
  <c r="AF79" i="95" s="1"/>
  <c r="AF80" i="95" s="1"/>
  <c r="AF81" i="95" s="1"/>
  <c r="AF82" i="95" s="1"/>
  <c r="AF83" i="95" s="1"/>
  <c r="AF84" i="95" s="1"/>
  <c r="AF85" i="95" s="1"/>
  <c r="AF86" i="95" s="1"/>
  <c r="AF87" i="95" s="1"/>
  <c r="AF88" i="95" s="1"/>
  <c r="AF89" i="95" s="1"/>
  <c r="AF90" i="95" s="1"/>
  <c r="AF91" i="95" s="1"/>
  <c r="AF92" i="95" s="1"/>
  <c r="AF93" i="95" s="1"/>
  <c r="AF94" i="95" s="1"/>
  <c r="AF95" i="95" s="1"/>
  <c r="AF96" i="95" s="1"/>
  <c r="AF97" i="95" s="1"/>
  <c r="AF98" i="95" s="1"/>
  <c r="AF99" i="95" s="1"/>
  <c r="AF100" i="95" s="1"/>
  <c r="AF101" i="95" s="1"/>
  <c r="AF102" i="95" s="1"/>
  <c r="AF103" i="95" s="1"/>
  <c r="AF104" i="95" s="1"/>
  <c r="AF105" i="95" s="1"/>
  <c r="AF106" i="95" s="1"/>
  <c r="AG75" i="98"/>
  <c r="AE76" i="98" s="1"/>
  <c r="AF27" i="94"/>
  <c r="AJ27" i="94" s="1"/>
  <c r="CL24" i="104"/>
  <c r="CJ25" i="104"/>
  <c r="CL25" i="104" s="1"/>
  <c r="CJ26" i="104" s="1"/>
  <c r="BL69" i="93"/>
  <c r="BL68" i="93"/>
  <c r="AV5" i="102"/>
  <c r="AZ5" i="102" s="1"/>
  <c r="BD5" i="102"/>
  <c r="BH5" i="102" s="1"/>
  <c r="AX5" i="102"/>
  <c r="BB5" i="102" s="1"/>
  <c r="BF5" i="102"/>
  <c r="BJ5" i="102" s="1"/>
  <c r="CT5" i="107"/>
  <c r="CX5" i="107" s="1"/>
  <c r="AH5" i="107"/>
  <c r="AL5" i="107" s="1"/>
  <c r="AP5" i="107" s="1"/>
  <c r="AT5" i="107" s="1"/>
  <c r="AH23" i="107"/>
  <c r="AL23" i="107" s="1"/>
  <c r="AP23" i="107" s="1"/>
  <c r="AT23" i="107" s="1"/>
  <c r="CT23" i="107"/>
  <c r="CX23" i="107" s="1"/>
  <c r="AH21" i="107"/>
  <c r="AL21" i="107" s="1"/>
  <c r="AP21" i="107" s="1"/>
  <c r="AT21" i="107" s="1"/>
  <c r="CT21" i="107"/>
  <c r="CX21" i="107" s="1"/>
  <c r="CR10" i="107"/>
  <c r="CV10" i="107" s="1"/>
  <c r="DB10" i="107" s="1"/>
  <c r="AF10" i="107"/>
  <c r="AJ10" i="107" s="1"/>
  <c r="AN10" i="107" s="1"/>
  <c r="AR10" i="107" s="1"/>
  <c r="CR17" i="107"/>
  <c r="CV17" i="107" s="1"/>
  <c r="DB17" i="107" s="1"/>
  <c r="AF17" i="107"/>
  <c r="AJ17" i="107" s="1"/>
  <c r="AN17" i="107" s="1"/>
  <c r="AR17" i="107" s="1"/>
  <c r="AF12" i="107"/>
  <c r="AJ12" i="107" s="1"/>
  <c r="AN12" i="107" s="1"/>
  <c r="AR12" i="107" s="1"/>
  <c r="CR12" i="107"/>
  <c r="CV12" i="107" s="1"/>
  <c r="DB12" i="107" s="1"/>
  <c r="CR5" i="107"/>
  <c r="CV5" i="107" s="1"/>
  <c r="DB5" i="107" s="1"/>
  <c r="AF5" i="107"/>
  <c r="AJ5" i="107" s="1"/>
  <c r="AN5" i="107" s="1"/>
  <c r="AR5" i="107" s="1"/>
  <c r="CR14" i="107"/>
  <c r="CV14" i="107" s="1"/>
  <c r="DB14" i="107" s="1"/>
  <c r="AF14" i="107"/>
  <c r="AJ14" i="107" s="1"/>
  <c r="AN14" i="107" s="1"/>
  <c r="AR14" i="107" s="1"/>
  <c r="CT17" i="107"/>
  <c r="CX17" i="107" s="1"/>
  <c r="AH17" i="107"/>
  <c r="AL17" i="107" s="1"/>
  <c r="AP17" i="107" s="1"/>
  <c r="AT17" i="107" s="1"/>
  <c r="CR25" i="107"/>
  <c r="CV25" i="107" s="1"/>
  <c r="DB25" i="107" s="1"/>
  <c r="AF25" i="107"/>
  <c r="AJ25" i="107" s="1"/>
  <c r="AN25" i="107" s="1"/>
  <c r="AR25" i="107" s="1"/>
  <c r="CT10" i="107"/>
  <c r="CX10" i="107" s="1"/>
  <c r="AH10" i="107"/>
  <c r="AL10" i="107" s="1"/>
  <c r="AP10" i="107" s="1"/>
  <c r="AT10" i="107" s="1"/>
  <c r="CT14" i="107"/>
  <c r="CX14" i="107" s="1"/>
  <c r="AH14" i="107"/>
  <c r="AL14" i="107" s="1"/>
  <c r="AP14" i="107" s="1"/>
  <c r="AT14" i="107" s="1"/>
  <c r="BF25" i="107"/>
  <c r="BJ25" i="107" s="1"/>
  <c r="BN25" i="107" s="1"/>
  <c r="BR25" i="107" s="1"/>
  <c r="BV25" i="107" s="1"/>
  <c r="BZ25" i="107" s="1"/>
  <c r="CT12" i="107"/>
  <c r="CX12" i="107" s="1"/>
  <c r="AH12" i="107"/>
  <c r="AL12" i="107" s="1"/>
  <c r="AP12" i="107" s="1"/>
  <c r="AT12" i="107" s="1"/>
  <c r="CT25" i="107"/>
  <c r="CX25" i="107" s="1"/>
  <c r="CT27" i="107"/>
  <c r="CX27" i="107" s="1"/>
  <c r="AH27" i="107"/>
  <c r="AL27" i="107" s="1"/>
  <c r="AP27" i="107" s="1"/>
  <c r="AT27" i="107" s="1"/>
  <c r="CR23" i="107"/>
  <c r="CV23" i="107" s="1"/>
  <c r="DB23" i="107" s="1"/>
  <c r="AF23" i="107"/>
  <c r="AJ23" i="107" s="1"/>
  <c r="AN23" i="107" s="1"/>
  <c r="AR23" i="107" s="1"/>
  <c r="CR21" i="107"/>
  <c r="CV21" i="107" s="1"/>
  <c r="DB21" i="107" s="1"/>
  <c r="AF21" i="107"/>
  <c r="AJ21" i="107" s="1"/>
  <c r="AN21" i="107" s="1"/>
  <c r="AR21" i="107" s="1"/>
  <c r="CR27" i="107"/>
  <c r="CV27" i="107" s="1"/>
  <c r="DB27" i="107" s="1"/>
  <c r="AF27" i="107"/>
  <c r="AJ27" i="107" s="1"/>
  <c r="AN27" i="107" s="1"/>
  <c r="AR27" i="107" s="1"/>
  <c r="C40" i="107"/>
  <c r="CR5" i="106"/>
  <c r="CV5" i="106" s="1"/>
  <c r="DB5" i="106" s="1"/>
  <c r="AF5" i="106"/>
  <c r="AJ5" i="106" s="1"/>
  <c r="AN5" i="106" s="1"/>
  <c r="AR5" i="106" s="1"/>
  <c r="CR17" i="106"/>
  <c r="CV17" i="106" s="1"/>
  <c r="DB17" i="106" s="1"/>
  <c r="AF17" i="106"/>
  <c r="AJ17" i="106" s="1"/>
  <c r="AN17" i="106" s="1"/>
  <c r="AR17" i="106" s="1"/>
  <c r="CR10" i="106"/>
  <c r="CV10" i="106" s="1"/>
  <c r="DB10" i="106" s="1"/>
  <c r="AF10" i="106"/>
  <c r="AJ10" i="106" s="1"/>
  <c r="AN10" i="106" s="1"/>
  <c r="AR10" i="106" s="1"/>
  <c r="CT14" i="106"/>
  <c r="CX14" i="106" s="1"/>
  <c r="AH14" i="106"/>
  <c r="AL14" i="106" s="1"/>
  <c r="AP14" i="106" s="1"/>
  <c r="AT14" i="106" s="1"/>
  <c r="CT23" i="106"/>
  <c r="CX23" i="106" s="1"/>
  <c r="AH23" i="106"/>
  <c r="AL23" i="106" s="1"/>
  <c r="AP23" i="106" s="1"/>
  <c r="AT23" i="106" s="1"/>
  <c r="CT10" i="106"/>
  <c r="CX10" i="106" s="1"/>
  <c r="AH10" i="106"/>
  <c r="AL10" i="106" s="1"/>
  <c r="AP10" i="106" s="1"/>
  <c r="AT10" i="106" s="1"/>
  <c r="CR14" i="106"/>
  <c r="CV14" i="106" s="1"/>
  <c r="DB14" i="106" s="1"/>
  <c r="AF14" i="106"/>
  <c r="AJ14" i="106" s="1"/>
  <c r="AN14" i="106" s="1"/>
  <c r="AR14" i="106" s="1"/>
  <c r="CT5" i="106"/>
  <c r="CX5" i="106" s="1"/>
  <c r="AH5" i="106"/>
  <c r="AL5" i="106" s="1"/>
  <c r="AP5" i="106" s="1"/>
  <c r="AT5" i="106" s="1"/>
  <c r="CR21" i="106"/>
  <c r="CV21" i="106" s="1"/>
  <c r="DB21" i="106" s="1"/>
  <c r="AF21" i="106"/>
  <c r="AJ21" i="106" s="1"/>
  <c r="AN21" i="106" s="1"/>
  <c r="AR21" i="106" s="1"/>
  <c r="AH12" i="106"/>
  <c r="AL12" i="106" s="1"/>
  <c r="AP12" i="106" s="1"/>
  <c r="AT12" i="106" s="1"/>
  <c r="CT12" i="106"/>
  <c r="CX12" i="106" s="1"/>
  <c r="CT17" i="106"/>
  <c r="CX17" i="106" s="1"/>
  <c r="AH17" i="106"/>
  <c r="AL17" i="106" s="1"/>
  <c r="AP17" i="106" s="1"/>
  <c r="AT17" i="106" s="1"/>
  <c r="BD25" i="106"/>
  <c r="BH25" i="106" s="1"/>
  <c r="BL25" i="106" s="1"/>
  <c r="BP25" i="106" s="1"/>
  <c r="BT25" i="106" s="1"/>
  <c r="BX25" i="106" s="1"/>
  <c r="AF12" i="106"/>
  <c r="AJ12" i="106" s="1"/>
  <c r="AN12" i="106" s="1"/>
  <c r="AR12" i="106" s="1"/>
  <c r="CR12" i="106"/>
  <c r="CV12" i="106" s="1"/>
  <c r="DB12" i="106" s="1"/>
  <c r="CT21" i="106"/>
  <c r="CX21" i="106" s="1"/>
  <c r="AH21" i="106"/>
  <c r="AL21" i="106" s="1"/>
  <c r="AP21" i="106" s="1"/>
  <c r="AT21" i="106" s="1"/>
  <c r="DR24" i="106"/>
  <c r="DP25" i="106" s="1"/>
  <c r="CR27" i="106"/>
  <c r="CV27" i="106" s="1"/>
  <c r="DB27" i="106" s="1"/>
  <c r="AF27" i="106"/>
  <c r="AJ27" i="106" s="1"/>
  <c r="AN27" i="106" s="1"/>
  <c r="AR27" i="106" s="1"/>
  <c r="CT25" i="106"/>
  <c r="CX25" i="106" s="1"/>
  <c r="AH25" i="106"/>
  <c r="AL25" i="106" s="1"/>
  <c r="AP25" i="106" s="1"/>
  <c r="AT25" i="106" s="1"/>
  <c r="CT27" i="106"/>
  <c r="CX27" i="106" s="1"/>
  <c r="AH27" i="106"/>
  <c r="AL27" i="106" s="1"/>
  <c r="AP27" i="106" s="1"/>
  <c r="AT27" i="106" s="1"/>
  <c r="AG75" i="106"/>
  <c r="AE76" i="106" s="1"/>
  <c r="AF23" i="106"/>
  <c r="AJ23" i="106" s="1"/>
  <c r="AN23" i="106" s="1"/>
  <c r="AR23" i="106" s="1"/>
  <c r="C40" i="106"/>
  <c r="CR14" i="105"/>
  <c r="CV14" i="105" s="1"/>
  <c r="DB14" i="105" s="1"/>
  <c r="AF14" i="105"/>
  <c r="AJ14" i="105" s="1"/>
  <c r="AN14" i="105" s="1"/>
  <c r="AR14" i="105" s="1"/>
  <c r="BD14" i="105" s="1"/>
  <c r="BH14" i="105" s="1"/>
  <c r="BL14" i="105" s="1"/>
  <c r="BP14" i="105" s="1"/>
  <c r="BT14" i="105" s="1"/>
  <c r="BX14" i="105" s="1"/>
  <c r="CJ14" i="105" s="1"/>
  <c r="CN14" i="105" s="1"/>
  <c r="AF75" i="105"/>
  <c r="AF76" i="105" s="1"/>
  <c r="AF77" i="105" s="1"/>
  <c r="AF78" i="105" s="1"/>
  <c r="AF79" i="105" s="1"/>
  <c r="AF80" i="105" s="1"/>
  <c r="AF81" i="105" s="1"/>
  <c r="AF82" i="105" s="1"/>
  <c r="AF83" i="105" s="1"/>
  <c r="AF84" i="105" s="1"/>
  <c r="AF85" i="105" s="1"/>
  <c r="AF86" i="105" s="1"/>
  <c r="AF87" i="105" s="1"/>
  <c r="AF88" i="105" s="1"/>
  <c r="AF89" i="105" s="1"/>
  <c r="AF90" i="105" s="1"/>
  <c r="AF91" i="105" s="1"/>
  <c r="AF92" i="105" s="1"/>
  <c r="AF93" i="105" s="1"/>
  <c r="AF94" i="105" s="1"/>
  <c r="AF95" i="105" s="1"/>
  <c r="AF96" i="105" s="1"/>
  <c r="AF97" i="105" s="1"/>
  <c r="AF98" i="105" s="1"/>
  <c r="AF99" i="105" s="1"/>
  <c r="AF100" i="105" s="1"/>
  <c r="AF101" i="105" s="1"/>
  <c r="AF102" i="105" s="1"/>
  <c r="AF103" i="105" s="1"/>
  <c r="AF104" i="105" s="1"/>
  <c r="AF105" i="105" s="1"/>
  <c r="AF106" i="105" s="1"/>
  <c r="CR17" i="105"/>
  <c r="CV17" i="105" s="1"/>
  <c r="DB17" i="105" s="1"/>
  <c r="AF17" i="105"/>
  <c r="AJ17" i="105" s="1"/>
  <c r="AN17" i="105" s="1"/>
  <c r="AR17" i="105" s="1"/>
  <c r="CR12" i="105"/>
  <c r="CV12" i="105" s="1"/>
  <c r="DB12" i="105" s="1"/>
  <c r="AF12" i="105"/>
  <c r="AJ12" i="105" s="1"/>
  <c r="AN12" i="105" s="1"/>
  <c r="AR12" i="105" s="1"/>
  <c r="CT5" i="105"/>
  <c r="CX5" i="105" s="1"/>
  <c r="AH5" i="105"/>
  <c r="AL5" i="105" s="1"/>
  <c r="AP5" i="105" s="1"/>
  <c r="AT5" i="105" s="1"/>
  <c r="CT17" i="105"/>
  <c r="CX17" i="105" s="1"/>
  <c r="AH17" i="105"/>
  <c r="AL17" i="105" s="1"/>
  <c r="AP17" i="105" s="1"/>
  <c r="AT17" i="105" s="1"/>
  <c r="CT14" i="105"/>
  <c r="CX14" i="105" s="1"/>
  <c r="AH14" i="105"/>
  <c r="AL14" i="105" s="1"/>
  <c r="AP14" i="105" s="1"/>
  <c r="AT14" i="105" s="1"/>
  <c r="CR21" i="105"/>
  <c r="CV21" i="105" s="1"/>
  <c r="DB21" i="105" s="1"/>
  <c r="AF21" i="105"/>
  <c r="AJ21" i="105" s="1"/>
  <c r="AN21" i="105" s="1"/>
  <c r="AR21" i="105" s="1"/>
  <c r="CT10" i="105"/>
  <c r="CX10" i="105" s="1"/>
  <c r="AH10" i="105"/>
  <c r="AL10" i="105" s="1"/>
  <c r="AP10" i="105" s="1"/>
  <c r="AT10" i="105" s="1"/>
  <c r="CR27" i="105"/>
  <c r="CV27" i="105" s="1"/>
  <c r="DB27" i="105" s="1"/>
  <c r="AF27" i="105"/>
  <c r="AJ27" i="105" s="1"/>
  <c r="AN27" i="105" s="1"/>
  <c r="AR27" i="105" s="1"/>
  <c r="AF5" i="105"/>
  <c r="AJ5" i="105" s="1"/>
  <c r="AN5" i="105" s="1"/>
  <c r="AR5" i="105" s="1"/>
  <c r="CR5" i="105"/>
  <c r="CV5" i="105" s="1"/>
  <c r="DB5" i="105" s="1"/>
  <c r="CT27" i="105"/>
  <c r="CX27" i="105" s="1"/>
  <c r="AH27" i="105"/>
  <c r="AL27" i="105" s="1"/>
  <c r="AP27" i="105" s="1"/>
  <c r="AT27" i="105" s="1"/>
  <c r="CR10" i="105"/>
  <c r="CV10" i="105" s="1"/>
  <c r="DB10" i="105" s="1"/>
  <c r="AF10" i="105"/>
  <c r="AJ10" i="105" s="1"/>
  <c r="AN10" i="105" s="1"/>
  <c r="AR10" i="105" s="1"/>
  <c r="CT12" i="105"/>
  <c r="CX12" i="105" s="1"/>
  <c r="AH12" i="105"/>
  <c r="AL12" i="105" s="1"/>
  <c r="AP12" i="105" s="1"/>
  <c r="AT12" i="105" s="1"/>
  <c r="CT21" i="105"/>
  <c r="CX21" i="105" s="1"/>
  <c r="AH21" i="105"/>
  <c r="AL21" i="105" s="1"/>
  <c r="AP21" i="105" s="1"/>
  <c r="AT21" i="105" s="1"/>
  <c r="DQ25" i="105"/>
  <c r="DQ26" i="105" s="1"/>
  <c r="DQ27" i="105" s="1"/>
  <c r="DQ28" i="105" s="1"/>
  <c r="DQ29" i="105" s="1"/>
  <c r="DQ30" i="105" s="1"/>
  <c r="DQ31" i="105" s="1"/>
  <c r="DQ32" i="105" s="1"/>
  <c r="DQ33" i="105" s="1"/>
  <c r="DQ34" i="105" s="1"/>
  <c r="DQ35" i="105" s="1"/>
  <c r="DQ36" i="105" s="1"/>
  <c r="DQ37" i="105" s="1"/>
  <c r="DQ38" i="105" s="1"/>
  <c r="DQ39" i="105" s="1"/>
  <c r="DQ40" i="105" s="1"/>
  <c r="DQ41" i="105" s="1"/>
  <c r="DQ42" i="105" s="1"/>
  <c r="DQ43" i="105" s="1"/>
  <c r="DQ44" i="105" s="1"/>
  <c r="DQ45" i="105" s="1"/>
  <c r="DQ46" i="105" s="1"/>
  <c r="DQ47" i="105" s="1"/>
  <c r="DQ48" i="105" s="1"/>
  <c r="DQ49" i="105" s="1"/>
  <c r="DQ50" i="105" s="1"/>
  <c r="DQ51" i="105" s="1"/>
  <c r="DQ52" i="105" s="1"/>
  <c r="DQ53" i="105" s="1"/>
  <c r="DQ54" i="105" s="1"/>
  <c r="DQ55" i="105" s="1"/>
  <c r="DR24" i="105"/>
  <c r="AH23" i="105"/>
  <c r="AL23" i="105" s="1"/>
  <c r="AP23" i="105" s="1"/>
  <c r="AT23" i="105" s="1"/>
  <c r="CR25" i="105"/>
  <c r="CV25" i="105" s="1"/>
  <c r="DB25" i="105" s="1"/>
  <c r="AF25" i="105"/>
  <c r="AJ25" i="105" s="1"/>
  <c r="AN25" i="105" s="1"/>
  <c r="AR25" i="105" s="1"/>
  <c r="C40" i="105"/>
  <c r="CR23" i="105"/>
  <c r="CV23" i="105" s="1"/>
  <c r="DB23" i="105" s="1"/>
  <c r="AF23" i="105"/>
  <c r="AJ23" i="105" s="1"/>
  <c r="AN23" i="105" s="1"/>
  <c r="AR23" i="105" s="1"/>
  <c r="DP25" i="105"/>
  <c r="AH25" i="105"/>
  <c r="AL25" i="105" s="1"/>
  <c r="AP25" i="105" s="1"/>
  <c r="AT25" i="105" s="1"/>
  <c r="BD25" i="104"/>
  <c r="BH25" i="104" s="1"/>
  <c r="AV25" i="104"/>
  <c r="AZ25" i="104" s="1"/>
  <c r="BL10" i="104"/>
  <c r="BP10" i="104" s="1"/>
  <c r="BV10" i="104" s="1"/>
  <c r="AF10" i="104"/>
  <c r="AJ10" i="104" s="1"/>
  <c r="AN10" i="104" s="1"/>
  <c r="AR10" i="104" s="1"/>
  <c r="AF17" i="104"/>
  <c r="AJ17" i="104" s="1"/>
  <c r="AN17" i="104" s="1"/>
  <c r="AR17" i="104" s="1"/>
  <c r="BL17" i="104"/>
  <c r="BP17" i="104" s="1"/>
  <c r="BV17" i="104" s="1"/>
  <c r="BL14" i="104"/>
  <c r="BP14" i="104" s="1"/>
  <c r="BV14" i="104" s="1"/>
  <c r="AF14" i="104"/>
  <c r="AJ14" i="104" s="1"/>
  <c r="AN14" i="104" s="1"/>
  <c r="AR14" i="104" s="1"/>
  <c r="AH25" i="104"/>
  <c r="AL25" i="104" s="1"/>
  <c r="AP25" i="104" s="1"/>
  <c r="AT25" i="104" s="1"/>
  <c r="BN25" i="104"/>
  <c r="BR25" i="104" s="1"/>
  <c r="AH21" i="104"/>
  <c r="AL21" i="104" s="1"/>
  <c r="AP21" i="104" s="1"/>
  <c r="AT21" i="104" s="1"/>
  <c r="BN21" i="104"/>
  <c r="BR21" i="104" s="1"/>
  <c r="BN10" i="104"/>
  <c r="BR10" i="104" s="1"/>
  <c r="AH10" i="104"/>
  <c r="AL10" i="104" s="1"/>
  <c r="AP10" i="104" s="1"/>
  <c r="AT10" i="104" s="1"/>
  <c r="BN5" i="104"/>
  <c r="BR5" i="104" s="1"/>
  <c r="AH5" i="104"/>
  <c r="AL5" i="104" s="1"/>
  <c r="AP5" i="104" s="1"/>
  <c r="AT5" i="104" s="1"/>
  <c r="AF5" i="104"/>
  <c r="AJ5" i="104" s="1"/>
  <c r="AN5" i="104" s="1"/>
  <c r="AR5" i="104" s="1"/>
  <c r="BL5" i="104"/>
  <c r="BP5" i="104" s="1"/>
  <c r="BV5" i="104" s="1"/>
  <c r="AF12" i="104"/>
  <c r="AJ12" i="104" s="1"/>
  <c r="AN12" i="104" s="1"/>
  <c r="AR12" i="104" s="1"/>
  <c r="BL12" i="104"/>
  <c r="BP12" i="104" s="1"/>
  <c r="BV12" i="104" s="1"/>
  <c r="BN12" i="104"/>
  <c r="BR12" i="104" s="1"/>
  <c r="AH12" i="104"/>
  <c r="AL12" i="104" s="1"/>
  <c r="AP12" i="104" s="1"/>
  <c r="AT12" i="104" s="1"/>
  <c r="AV27" i="104"/>
  <c r="AZ27" i="104" s="1"/>
  <c r="BN14" i="104"/>
  <c r="BR14" i="104" s="1"/>
  <c r="BL21" i="104"/>
  <c r="BP21" i="104" s="1"/>
  <c r="BV21" i="104" s="1"/>
  <c r="AF21" i="104"/>
  <c r="AJ21" i="104" s="1"/>
  <c r="AN21" i="104" s="1"/>
  <c r="AR21" i="104" s="1"/>
  <c r="BL23" i="104"/>
  <c r="BP23" i="104" s="1"/>
  <c r="BV23" i="104" s="1"/>
  <c r="AF23" i="104"/>
  <c r="AJ23" i="104" s="1"/>
  <c r="AN23" i="104" s="1"/>
  <c r="AR23" i="104" s="1"/>
  <c r="C43" i="104"/>
  <c r="BL25" i="104"/>
  <c r="BP25" i="104" s="1"/>
  <c r="BV25" i="104" s="1"/>
  <c r="AH23" i="104"/>
  <c r="AL23" i="104" s="1"/>
  <c r="AP23" i="104" s="1"/>
  <c r="AT23" i="104" s="1"/>
  <c r="BN23" i="104"/>
  <c r="BR23" i="104" s="1"/>
  <c r="AX14" i="104"/>
  <c r="BB14" i="104" s="1"/>
  <c r="BN27" i="104"/>
  <c r="BR27" i="104" s="1"/>
  <c r="AH27" i="104"/>
  <c r="AL27" i="104" s="1"/>
  <c r="AP27" i="104" s="1"/>
  <c r="AT27" i="104" s="1"/>
  <c r="BN17" i="104"/>
  <c r="BR17" i="104" s="1"/>
  <c r="AH17" i="104"/>
  <c r="AL17" i="104" s="1"/>
  <c r="AP17" i="104" s="1"/>
  <c r="AT17" i="104" s="1"/>
  <c r="BL27" i="104"/>
  <c r="BP27" i="104" s="1"/>
  <c r="BV27" i="104" s="1"/>
  <c r="AG74" i="104"/>
  <c r="AE75" i="104" s="1"/>
  <c r="AF75" i="104"/>
  <c r="AF76" i="104" s="1"/>
  <c r="AF77" i="104" s="1"/>
  <c r="AF78" i="104" s="1"/>
  <c r="AF79" i="104" s="1"/>
  <c r="AF80" i="104" s="1"/>
  <c r="AF81" i="104" s="1"/>
  <c r="AF82" i="104" s="1"/>
  <c r="AF83" i="104" s="1"/>
  <c r="AF84" i="104" s="1"/>
  <c r="AF85" i="104" s="1"/>
  <c r="AF86" i="104" s="1"/>
  <c r="AF87" i="104" s="1"/>
  <c r="AF88" i="104" s="1"/>
  <c r="AF89" i="104" s="1"/>
  <c r="AF90" i="104" s="1"/>
  <c r="AF91" i="104" s="1"/>
  <c r="AF92" i="104" s="1"/>
  <c r="AF93" i="104" s="1"/>
  <c r="AF94" i="104" s="1"/>
  <c r="AF95" i="104" s="1"/>
  <c r="AF96" i="104" s="1"/>
  <c r="AF97" i="104" s="1"/>
  <c r="AF98" i="104" s="1"/>
  <c r="AF99" i="104" s="1"/>
  <c r="AF100" i="104" s="1"/>
  <c r="AF101" i="104" s="1"/>
  <c r="AF102" i="104" s="1"/>
  <c r="AF103" i="104" s="1"/>
  <c r="AF104" i="104" s="1"/>
  <c r="AF105" i="104" s="1"/>
  <c r="AF106" i="104" s="1"/>
  <c r="BL21" i="102"/>
  <c r="BP21" i="102" s="1"/>
  <c r="BV21" i="102" s="1"/>
  <c r="AF21" i="102"/>
  <c r="AJ21" i="102" s="1"/>
  <c r="AN21" i="102" s="1"/>
  <c r="AR21" i="102" s="1"/>
  <c r="BN12" i="102"/>
  <c r="BR12" i="102" s="1"/>
  <c r="AH12" i="102"/>
  <c r="AL12" i="102" s="1"/>
  <c r="AP12" i="102" s="1"/>
  <c r="AT12" i="102" s="1"/>
  <c r="AX14" i="102"/>
  <c r="BB14" i="102" s="1"/>
  <c r="BF14" i="102"/>
  <c r="BJ14" i="102" s="1"/>
  <c r="BN21" i="102"/>
  <c r="BR21" i="102" s="1"/>
  <c r="AH21" i="102"/>
  <c r="AL21" i="102" s="1"/>
  <c r="AP21" i="102" s="1"/>
  <c r="AT21" i="102" s="1"/>
  <c r="AV27" i="102"/>
  <c r="AZ27" i="102" s="1"/>
  <c r="BD27" i="102"/>
  <c r="BH27" i="102" s="1"/>
  <c r="BL14" i="102"/>
  <c r="BP14" i="102" s="1"/>
  <c r="BV14" i="102" s="1"/>
  <c r="AF14" i="102"/>
  <c r="AJ14" i="102" s="1"/>
  <c r="AN14" i="102" s="1"/>
  <c r="AR14" i="102" s="1"/>
  <c r="BL23" i="102"/>
  <c r="BP23" i="102" s="1"/>
  <c r="BV23" i="102" s="1"/>
  <c r="AF23" i="102"/>
  <c r="AJ23" i="102" s="1"/>
  <c r="AN23" i="102" s="1"/>
  <c r="AR23" i="102" s="1"/>
  <c r="BL27" i="102"/>
  <c r="BP27" i="102" s="1"/>
  <c r="BV27" i="102" s="1"/>
  <c r="BD10" i="102"/>
  <c r="BH10" i="102" s="1"/>
  <c r="AV10" i="102"/>
  <c r="AZ10" i="102" s="1"/>
  <c r="AH10" i="102"/>
  <c r="AL10" i="102" s="1"/>
  <c r="AP10" i="102" s="1"/>
  <c r="AT10" i="102" s="1"/>
  <c r="BL17" i="102"/>
  <c r="BP17" i="102" s="1"/>
  <c r="BV17" i="102" s="1"/>
  <c r="AF17" i="102"/>
  <c r="AJ17" i="102" s="1"/>
  <c r="AN17" i="102" s="1"/>
  <c r="AR17" i="102" s="1"/>
  <c r="BF17" i="102"/>
  <c r="BJ17" i="102" s="1"/>
  <c r="BL12" i="102"/>
  <c r="BP12" i="102" s="1"/>
  <c r="BV12" i="102" s="1"/>
  <c r="AF12" i="102"/>
  <c r="AJ12" i="102" s="1"/>
  <c r="AN12" i="102" s="1"/>
  <c r="AR12" i="102" s="1"/>
  <c r="BN14" i="102"/>
  <c r="BR14" i="102" s="1"/>
  <c r="BL25" i="102"/>
  <c r="BP25" i="102" s="1"/>
  <c r="BV25" i="102" s="1"/>
  <c r="AF25" i="102"/>
  <c r="AJ25" i="102" s="1"/>
  <c r="AN25" i="102" s="1"/>
  <c r="AR25" i="102" s="1"/>
  <c r="BL10" i="102"/>
  <c r="BP10" i="102" s="1"/>
  <c r="BV10" i="102" s="1"/>
  <c r="AH23" i="102"/>
  <c r="AL23" i="102" s="1"/>
  <c r="AP23" i="102" s="1"/>
  <c r="AT23" i="102" s="1"/>
  <c r="CL24" i="102"/>
  <c r="CJ25" i="102" s="1"/>
  <c r="C39" i="102"/>
  <c r="AH25" i="102"/>
  <c r="AL25" i="102" s="1"/>
  <c r="AP25" i="102" s="1"/>
  <c r="AT25" i="102" s="1"/>
  <c r="AG74" i="102"/>
  <c r="AE75" i="102" s="1"/>
  <c r="AF75" i="102"/>
  <c r="AF76" i="102" s="1"/>
  <c r="AF77" i="102" s="1"/>
  <c r="AF78" i="102" s="1"/>
  <c r="AF79" i="102" s="1"/>
  <c r="AF80" i="102" s="1"/>
  <c r="AF81" i="102" s="1"/>
  <c r="AF82" i="102" s="1"/>
  <c r="AF83" i="102" s="1"/>
  <c r="AF84" i="102" s="1"/>
  <c r="AF85" i="102" s="1"/>
  <c r="AF86" i="102" s="1"/>
  <c r="AF87" i="102" s="1"/>
  <c r="AF88" i="102" s="1"/>
  <c r="AF89" i="102" s="1"/>
  <c r="AF90" i="102" s="1"/>
  <c r="AF91" i="102" s="1"/>
  <c r="AF92" i="102" s="1"/>
  <c r="AF93" i="102" s="1"/>
  <c r="AF94" i="102" s="1"/>
  <c r="AF95" i="102" s="1"/>
  <c r="AF96" i="102" s="1"/>
  <c r="AF97" i="102" s="1"/>
  <c r="AF98" i="102" s="1"/>
  <c r="AF99" i="102" s="1"/>
  <c r="AF100" i="102" s="1"/>
  <c r="AF101" i="102" s="1"/>
  <c r="AF102" i="102" s="1"/>
  <c r="AF103" i="102" s="1"/>
  <c r="AF104" i="102" s="1"/>
  <c r="AF105" i="102" s="1"/>
  <c r="AF106" i="102" s="1"/>
  <c r="BN23" i="101"/>
  <c r="BR23" i="101" s="1"/>
  <c r="AH23" i="101"/>
  <c r="AL23" i="101" s="1"/>
  <c r="AP23" i="101" s="1"/>
  <c r="AT23" i="101" s="1"/>
  <c r="BN10" i="101"/>
  <c r="BR10" i="101" s="1"/>
  <c r="AH10" i="101"/>
  <c r="AL10" i="101" s="1"/>
  <c r="AP10" i="101" s="1"/>
  <c r="AT10" i="101" s="1"/>
  <c r="AX12" i="101"/>
  <c r="BB12" i="101" s="1"/>
  <c r="AF23" i="101"/>
  <c r="AJ23" i="101" s="1"/>
  <c r="AN23" i="101" s="1"/>
  <c r="AR23" i="101" s="1"/>
  <c r="BL23" i="101"/>
  <c r="BP23" i="101" s="1"/>
  <c r="BV23" i="101" s="1"/>
  <c r="AF25" i="101"/>
  <c r="AJ25" i="101" s="1"/>
  <c r="AN25" i="101" s="1"/>
  <c r="AR25" i="101" s="1"/>
  <c r="BL25" i="101"/>
  <c r="BP25" i="101" s="1"/>
  <c r="BV25" i="101" s="1"/>
  <c r="AX17" i="101"/>
  <c r="BB17" i="101" s="1"/>
  <c r="BF17" i="101"/>
  <c r="BJ17" i="101" s="1"/>
  <c r="BN21" i="101"/>
  <c r="BR21" i="101" s="1"/>
  <c r="AH21" i="101"/>
  <c r="AL21" i="101" s="1"/>
  <c r="AP21" i="101" s="1"/>
  <c r="AT21" i="101" s="1"/>
  <c r="AV10" i="101"/>
  <c r="AZ10" i="101" s="1"/>
  <c r="BD10" i="101"/>
  <c r="BH10" i="101" s="1"/>
  <c r="AV21" i="101"/>
  <c r="AZ21" i="101" s="1"/>
  <c r="BD21" i="101"/>
  <c r="BH21" i="101" s="1"/>
  <c r="BN5" i="101"/>
  <c r="BR5" i="101" s="1"/>
  <c r="AH5" i="101"/>
  <c r="AL5" i="101" s="1"/>
  <c r="AP5" i="101" s="1"/>
  <c r="AT5" i="101" s="1"/>
  <c r="AH14" i="101"/>
  <c r="AL14" i="101" s="1"/>
  <c r="AP14" i="101" s="1"/>
  <c r="AT14" i="101" s="1"/>
  <c r="BN14" i="101"/>
  <c r="BR14" i="101" s="1"/>
  <c r="BL12" i="101"/>
  <c r="BP12" i="101" s="1"/>
  <c r="BV12" i="101" s="1"/>
  <c r="AF12" i="101"/>
  <c r="AJ12" i="101" s="1"/>
  <c r="AN12" i="101" s="1"/>
  <c r="AR12" i="101" s="1"/>
  <c r="BL5" i="101"/>
  <c r="BP5" i="101" s="1"/>
  <c r="BV5" i="101" s="1"/>
  <c r="AF5" i="101"/>
  <c r="AJ5" i="101" s="1"/>
  <c r="AN5" i="101" s="1"/>
  <c r="AR5" i="101" s="1"/>
  <c r="BL17" i="101"/>
  <c r="BP17" i="101" s="1"/>
  <c r="BV17" i="101" s="1"/>
  <c r="AF17" i="101"/>
  <c r="AJ17" i="101" s="1"/>
  <c r="AN17" i="101" s="1"/>
  <c r="AR17" i="101" s="1"/>
  <c r="AX27" i="101"/>
  <c r="BB27" i="101" s="1"/>
  <c r="BF27" i="101"/>
  <c r="BJ27" i="101" s="1"/>
  <c r="BL10" i="101"/>
  <c r="BP10" i="101" s="1"/>
  <c r="BV10" i="101" s="1"/>
  <c r="BN25" i="101"/>
  <c r="BR25" i="101" s="1"/>
  <c r="AH25" i="101"/>
  <c r="AL25" i="101" s="1"/>
  <c r="AP25" i="101" s="1"/>
  <c r="AT25" i="101" s="1"/>
  <c r="AF14" i="101"/>
  <c r="AJ14" i="101" s="1"/>
  <c r="AN14" i="101" s="1"/>
  <c r="AR14" i="101" s="1"/>
  <c r="BL21" i="101"/>
  <c r="BP21" i="101" s="1"/>
  <c r="BV21" i="101" s="1"/>
  <c r="BN17" i="101"/>
  <c r="BR17" i="101" s="1"/>
  <c r="BN27" i="101"/>
  <c r="BR27" i="101" s="1"/>
  <c r="C39" i="101"/>
  <c r="CL24" i="101"/>
  <c r="CJ25" i="101" s="1"/>
  <c r="BL27" i="101"/>
  <c r="BP27" i="101" s="1"/>
  <c r="BV27" i="101" s="1"/>
  <c r="AF27" i="101"/>
  <c r="AJ27" i="101" s="1"/>
  <c r="AN27" i="101" s="1"/>
  <c r="AR27" i="101" s="1"/>
  <c r="AH5" i="100"/>
  <c r="AL5" i="100" s="1"/>
  <c r="AP5" i="100" s="1"/>
  <c r="AT5" i="100" s="1"/>
  <c r="BN5" i="100"/>
  <c r="BR5" i="100" s="1"/>
  <c r="BN14" i="100"/>
  <c r="BR14" i="100" s="1"/>
  <c r="AH14" i="100"/>
  <c r="AL14" i="100" s="1"/>
  <c r="AP14" i="100" s="1"/>
  <c r="AT14" i="100" s="1"/>
  <c r="BN10" i="100"/>
  <c r="BR10" i="100" s="1"/>
  <c r="AH10" i="100"/>
  <c r="AL10" i="100" s="1"/>
  <c r="AP10" i="100" s="1"/>
  <c r="AT10" i="100" s="1"/>
  <c r="BL21" i="100"/>
  <c r="BP21" i="100" s="1"/>
  <c r="BV21" i="100" s="1"/>
  <c r="AF21" i="100"/>
  <c r="AJ21" i="100" s="1"/>
  <c r="AN21" i="100" s="1"/>
  <c r="AR21" i="100" s="1"/>
  <c r="BL12" i="100"/>
  <c r="BP12" i="100" s="1"/>
  <c r="BV12" i="100" s="1"/>
  <c r="AF12" i="100"/>
  <c r="AJ12" i="100" s="1"/>
  <c r="AN12" i="100" s="1"/>
  <c r="AR12" i="100" s="1"/>
  <c r="AF27" i="100"/>
  <c r="AJ27" i="100" s="1"/>
  <c r="AN27" i="100" s="1"/>
  <c r="AR27" i="100" s="1"/>
  <c r="BD10" i="100"/>
  <c r="BH10" i="100" s="1"/>
  <c r="AV10" i="100"/>
  <c r="AZ10" i="100" s="1"/>
  <c r="AF25" i="100"/>
  <c r="AJ25" i="100" s="1"/>
  <c r="AN25" i="100" s="1"/>
  <c r="AR25" i="100" s="1"/>
  <c r="BL25" i="100"/>
  <c r="BP25" i="100" s="1"/>
  <c r="BV25" i="100" s="1"/>
  <c r="CL24" i="100"/>
  <c r="CJ25" i="100" s="1"/>
  <c r="AG74" i="100"/>
  <c r="AE75" i="100" s="1"/>
  <c r="AF75" i="100"/>
  <c r="AF76" i="100" s="1"/>
  <c r="AF77" i="100" s="1"/>
  <c r="AF78" i="100" s="1"/>
  <c r="AF79" i="100" s="1"/>
  <c r="AF80" i="100" s="1"/>
  <c r="AF81" i="100" s="1"/>
  <c r="AF82" i="100" s="1"/>
  <c r="AF83" i="100" s="1"/>
  <c r="AF84" i="100" s="1"/>
  <c r="AF85" i="100" s="1"/>
  <c r="AF86" i="100" s="1"/>
  <c r="AF87" i="100" s="1"/>
  <c r="AF88" i="100" s="1"/>
  <c r="AF89" i="100" s="1"/>
  <c r="AF90" i="100" s="1"/>
  <c r="AF91" i="100" s="1"/>
  <c r="AF92" i="100" s="1"/>
  <c r="AF93" i="100" s="1"/>
  <c r="AF94" i="100" s="1"/>
  <c r="AF95" i="100" s="1"/>
  <c r="AF96" i="100" s="1"/>
  <c r="AF97" i="100" s="1"/>
  <c r="AF98" i="100" s="1"/>
  <c r="AF99" i="100" s="1"/>
  <c r="AF100" i="100" s="1"/>
  <c r="AF101" i="100" s="1"/>
  <c r="AF102" i="100" s="1"/>
  <c r="AF103" i="100" s="1"/>
  <c r="AF104" i="100" s="1"/>
  <c r="AF105" i="100" s="1"/>
  <c r="AF106" i="100" s="1"/>
  <c r="AH17" i="100"/>
  <c r="AL17" i="100" s="1"/>
  <c r="AP17" i="100" s="1"/>
  <c r="AT17" i="100" s="1"/>
  <c r="BN17" i="100"/>
  <c r="BR17" i="100" s="1"/>
  <c r="AF23" i="100"/>
  <c r="AJ23" i="100" s="1"/>
  <c r="AN23" i="100" s="1"/>
  <c r="AR23" i="100" s="1"/>
  <c r="BL23" i="100"/>
  <c r="BP23" i="100" s="1"/>
  <c r="BV23" i="100" s="1"/>
  <c r="BN21" i="100"/>
  <c r="BR21" i="100" s="1"/>
  <c r="AH21" i="100"/>
  <c r="AL21" i="100" s="1"/>
  <c r="AP21" i="100" s="1"/>
  <c r="AT21" i="100" s="1"/>
  <c r="BL14" i="100"/>
  <c r="BP14" i="100" s="1"/>
  <c r="BV14" i="100" s="1"/>
  <c r="AF14" i="100"/>
  <c r="AJ14" i="100" s="1"/>
  <c r="AN14" i="100" s="1"/>
  <c r="AR14" i="100" s="1"/>
  <c r="BF27" i="100"/>
  <c r="BJ27" i="100" s="1"/>
  <c r="AX23" i="100"/>
  <c r="BB23" i="100" s="1"/>
  <c r="BF23" i="100"/>
  <c r="BJ23" i="100" s="1"/>
  <c r="AH25" i="100"/>
  <c r="AL25" i="100" s="1"/>
  <c r="AP25" i="100" s="1"/>
  <c r="AT25" i="100" s="1"/>
  <c r="BN25" i="100"/>
  <c r="BR25" i="100" s="1"/>
  <c r="BL5" i="100"/>
  <c r="BP5" i="100" s="1"/>
  <c r="BV5" i="100" s="1"/>
  <c r="AF5" i="100"/>
  <c r="AJ5" i="100" s="1"/>
  <c r="AN5" i="100" s="1"/>
  <c r="AR5" i="100" s="1"/>
  <c r="BL17" i="100"/>
  <c r="BP17" i="100" s="1"/>
  <c r="BV17" i="100" s="1"/>
  <c r="AF17" i="100"/>
  <c r="AJ17" i="100" s="1"/>
  <c r="AN17" i="100" s="1"/>
  <c r="AR17" i="100" s="1"/>
  <c r="C38" i="100"/>
  <c r="BL5" i="98"/>
  <c r="BP5" i="98" s="1"/>
  <c r="BV5" i="98" s="1"/>
  <c r="AF5" i="98"/>
  <c r="AJ5" i="98" s="1"/>
  <c r="AN5" i="98" s="1"/>
  <c r="AR5" i="98" s="1"/>
  <c r="AH10" i="98"/>
  <c r="AL10" i="98" s="1"/>
  <c r="AP10" i="98" s="1"/>
  <c r="AT10" i="98" s="1"/>
  <c r="BN10" i="98"/>
  <c r="BR10" i="98" s="1"/>
  <c r="BL21" i="98"/>
  <c r="BP21" i="98" s="1"/>
  <c r="BV21" i="98" s="1"/>
  <c r="AF21" i="98"/>
  <c r="AJ21" i="98" s="1"/>
  <c r="AN21" i="98" s="1"/>
  <c r="AR21" i="98" s="1"/>
  <c r="BL25" i="98"/>
  <c r="BP25" i="98" s="1"/>
  <c r="BV25" i="98" s="1"/>
  <c r="AF25" i="98"/>
  <c r="AJ25" i="98" s="1"/>
  <c r="AN25" i="98" s="1"/>
  <c r="AR25" i="98" s="1"/>
  <c r="BL23" i="98"/>
  <c r="BP23" i="98" s="1"/>
  <c r="BV23" i="98" s="1"/>
  <c r="AF23" i="98"/>
  <c r="AJ23" i="98" s="1"/>
  <c r="AN23" i="98" s="1"/>
  <c r="AR23" i="98" s="1"/>
  <c r="BN5" i="98"/>
  <c r="BR5" i="98" s="1"/>
  <c r="AH27" i="98"/>
  <c r="AL27" i="98" s="1"/>
  <c r="AP27" i="98" s="1"/>
  <c r="AT27" i="98" s="1"/>
  <c r="AH12" i="98"/>
  <c r="AL12" i="98" s="1"/>
  <c r="AP12" i="98" s="1"/>
  <c r="AT12" i="98" s="1"/>
  <c r="BN12" i="98"/>
  <c r="BR12" i="98" s="1"/>
  <c r="CL24" i="98"/>
  <c r="CJ25" i="98"/>
  <c r="BL10" i="98"/>
  <c r="BP10" i="98" s="1"/>
  <c r="BV10" i="98" s="1"/>
  <c r="AF10" i="98"/>
  <c r="AJ10" i="98" s="1"/>
  <c r="AN10" i="98" s="1"/>
  <c r="AR10" i="98" s="1"/>
  <c r="AH17" i="98"/>
  <c r="AL17" i="98" s="1"/>
  <c r="AP17" i="98" s="1"/>
  <c r="AT17" i="98" s="1"/>
  <c r="BN17" i="98"/>
  <c r="BR17" i="98" s="1"/>
  <c r="BN25" i="98"/>
  <c r="BR25" i="98" s="1"/>
  <c r="AH25" i="98"/>
  <c r="AL25" i="98" s="1"/>
  <c r="AP25" i="98" s="1"/>
  <c r="AT25" i="98" s="1"/>
  <c r="BN14" i="98"/>
  <c r="BR14" i="98" s="1"/>
  <c r="AH14" i="98"/>
  <c r="AL14" i="98" s="1"/>
  <c r="AP14" i="98" s="1"/>
  <c r="AT14" i="98" s="1"/>
  <c r="BL12" i="98"/>
  <c r="BP12" i="98" s="1"/>
  <c r="BV12" i="98" s="1"/>
  <c r="AF12" i="98"/>
  <c r="AJ12" i="98" s="1"/>
  <c r="AN12" i="98" s="1"/>
  <c r="AR12" i="98" s="1"/>
  <c r="BL14" i="98"/>
  <c r="BP14" i="98" s="1"/>
  <c r="BV14" i="98" s="1"/>
  <c r="AF14" i="98"/>
  <c r="AJ14" i="98" s="1"/>
  <c r="AN14" i="98" s="1"/>
  <c r="AR14" i="98" s="1"/>
  <c r="AG76" i="98"/>
  <c r="AE77" i="98" s="1"/>
  <c r="BL17" i="98"/>
  <c r="BP17" i="98" s="1"/>
  <c r="BV17" i="98" s="1"/>
  <c r="C39" i="98"/>
  <c r="BN23" i="98"/>
  <c r="BR23" i="98" s="1"/>
  <c r="AH23" i="98"/>
  <c r="AL23" i="98" s="1"/>
  <c r="AP23" i="98" s="1"/>
  <c r="AT23" i="98" s="1"/>
  <c r="BL27" i="98"/>
  <c r="BP27" i="98" s="1"/>
  <c r="BV27" i="98" s="1"/>
  <c r="AF27" i="98"/>
  <c r="AJ27" i="98" s="1"/>
  <c r="AN27" i="98" s="1"/>
  <c r="AR27" i="98" s="1"/>
  <c r="BN21" i="98"/>
  <c r="BR21" i="98" s="1"/>
  <c r="AV27" i="97"/>
  <c r="AZ27" i="97" s="1"/>
  <c r="BF27" i="97" s="1"/>
  <c r="AF27" i="97"/>
  <c r="AJ27" i="97" s="1"/>
  <c r="AN27" i="97" s="1"/>
  <c r="AR27" i="97" s="1"/>
  <c r="AV21" i="97"/>
  <c r="AZ21" i="97" s="1"/>
  <c r="BF21" i="97" s="1"/>
  <c r="AF21" i="97"/>
  <c r="AJ21" i="97" s="1"/>
  <c r="AN21" i="97" s="1"/>
  <c r="AR21" i="97" s="1"/>
  <c r="AX12" i="97"/>
  <c r="BB12" i="97" s="1"/>
  <c r="AH12" i="97"/>
  <c r="AL12" i="97" s="1"/>
  <c r="AP12" i="97" s="1"/>
  <c r="AT12" i="97" s="1"/>
  <c r="AX23" i="97"/>
  <c r="BB23" i="97" s="1"/>
  <c r="AH23" i="97"/>
  <c r="AL23" i="97" s="1"/>
  <c r="AP23" i="97" s="1"/>
  <c r="AT23" i="97" s="1"/>
  <c r="AX17" i="97"/>
  <c r="BB17" i="97" s="1"/>
  <c r="AH17" i="97"/>
  <c r="AL17" i="97" s="1"/>
  <c r="AP17" i="97" s="1"/>
  <c r="AT17" i="97" s="1"/>
  <c r="AV17" i="97"/>
  <c r="AZ17" i="97" s="1"/>
  <c r="BF17" i="97" s="1"/>
  <c r="AF17" i="97"/>
  <c r="AJ17" i="97" s="1"/>
  <c r="AN17" i="97" s="1"/>
  <c r="AR17" i="97" s="1"/>
  <c r="AV25" i="97"/>
  <c r="AZ25" i="97" s="1"/>
  <c r="BF25" i="97" s="1"/>
  <c r="AF25" i="97"/>
  <c r="AJ25" i="97" s="1"/>
  <c r="AN25" i="97" s="1"/>
  <c r="AR25" i="97" s="1"/>
  <c r="AV5" i="97"/>
  <c r="AZ5" i="97" s="1"/>
  <c r="BF5" i="97" s="1"/>
  <c r="AF5" i="97"/>
  <c r="AJ5" i="97" s="1"/>
  <c r="AN5" i="97" s="1"/>
  <c r="AR5" i="97" s="1"/>
  <c r="AX21" i="97"/>
  <c r="BB21" i="97" s="1"/>
  <c r="AH21" i="97"/>
  <c r="AL21" i="97" s="1"/>
  <c r="AP21" i="97" s="1"/>
  <c r="AT21" i="97" s="1"/>
  <c r="AV23" i="97"/>
  <c r="AZ23" i="97" s="1"/>
  <c r="BF23" i="97" s="1"/>
  <c r="AF23" i="97"/>
  <c r="AJ23" i="97" s="1"/>
  <c r="AN23" i="97" s="1"/>
  <c r="AR23" i="97" s="1"/>
  <c r="C40" i="97"/>
  <c r="AV10" i="97"/>
  <c r="AZ10" i="97" s="1"/>
  <c r="BF10" i="97" s="1"/>
  <c r="AF10" i="97"/>
  <c r="AJ10" i="97" s="1"/>
  <c r="AN10" i="97" s="1"/>
  <c r="AR10" i="97" s="1"/>
  <c r="AX5" i="97"/>
  <c r="BB5" i="97" s="1"/>
  <c r="AH5" i="97"/>
  <c r="AL5" i="97" s="1"/>
  <c r="AP5" i="97" s="1"/>
  <c r="AT5" i="97" s="1"/>
  <c r="AV14" i="97"/>
  <c r="AZ14" i="97" s="1"/>
  <c r="BF14" i="97" s="1"/>
  <c r="AF14" i="97"/>
  <c r="AJ14" i="97" s="1"/>
  <c r="AN14" i="97" s="1"/>
  <c r="AR14" i="97" s="1"/>
  <c r="AX10" i="97"/>
  <c r="BB10" i="97" s="1"/>
  <c r="AH10" i="97"/>
  <c r="AL10" i="97" s="1"/>
  <c r="AP10" i="97" s="1"/>
  <c r="AT10" i="97" s="1"/>
  <c r="BV24" i="97"/>
  <c r="BT25" i="97" s="1"/>
  <c r="AX25" i="97"/>
  <c r="BB25" i="97" s="1"/>
  <c r="AH25" i="97"/>
  <c r="AL25" i="97" s="1"/>
  <c r="AP25" i="97" s="1"/>
  <c r="AT25" i="97" s="1"/>
  <c r="AX27" i="97"/>
  <c r="BB27" i="97" s="1"/>
  <c r="AH27" i="97"/>
  <c r="AL27" i="97" s="1"/>
  <c r="AP27" i="97" s="1"/>
  <c r="AT27" i="97" s="1"/>
  <c r="AV12" i="97"/>
  <c r="AZ12" i="97" s="1"/>
  <c r="BF12" i="97" s="1"/>
  <c r="AF12" i="97"/>
  <c r="AJ12" i="97" s="1"/>
  <c r="AN12" i="97" s="1"/>
  <c r="AR12" i="97" s="1"/>
  <c r="AX14" i="97"/>
  <c r="BB14" i="97" s="1"/>
  <c r="AH14" i="97"/>
  <c r="AL14" i="97" s="1"/>
  <c r="AP14" i="97" s="1"/>
  <c r="AT14" i="97" s="1"/>
  <c r="AG75" i="97"/>
  <c r="AE76" i="97" s="1"/>
  <c r="AV12" i="96"/>
  <c r="AZ12" i="96" s="1"/>
  <c r="BF12" i="96" s="1"/>
  <c r="AX21" i="96"/>
  <c r="BB21" i="96" s="1"/>
  <c r="AH21" i="96"/>
  <c r="AL21" i="96" s="1"/>
  <c r="AP21" i="96" s="1"/>
  <c r="AT21" i="96" s="1"/>
  <c r="AH5" i="96"/>
  <c r="AL5" i="96" s="1"/>
  <c r="AP5" i="96" s="1"/>
  <c r="AT5" i="96" s="1"/>
  <c r="AX5" i="96"/>
  <c r="BB5" i="96" s="1"/>
  <c r="AF21" i="96"/>
  <c r="AJ21" i="96" s="1"/>
  <c r="AN21" i="96" s="1"/>
  <c r="AR21" i="96" s="1"/>
  <c r="AV21" i="96"/>
  <c r="AZ21" i="96" s="1"/>
  <c r="BF21" i="96" s="1"/>
  <c r="AH12" i="96"/>
  <c r="AL12" i="96" s="1"/>
  <c r="AP12" i="96" s="1"/>
  <c r="AT12" i="96" s="1"/>
  <c r="AX12" i="96"/>
  <c r="BB12" i="96" s="1"/>
  <c r="AV17" i="96"/>
  <c r="AZ17" i="96" s="1"/>
  <c r="BF17" i="96" s="1"/>
  <c r="AF17" i="96"/>
  <c r="AJ17" i="96" s="1"/>
  <c r="AN17" i="96" s="1"/>
  <c r="AR17" i="96" s="1"/>
  <c r="AV23" i="96"/>
  <c r="AZ23" i="96" s="1"/>
  <c r="BF23" i="96" s="1"/>
  <c r="AF23" i="96"/>
  <c r="AJ23" i="96" s="1"/>
  <c r="AN23" i="96" s="1"/>
  <c r="AR23" i="96" s="1"/>
  <c r="AF14" i="96"/>
  <c r="AJ14" i="96" s="1"/>
  <c r="AN14" i="96" s="1"/>
  <c r="AR14" i="96" s="1"/>
  <c r="AV14" i="96"/>
  <c r="AZ14" i="96" s="1"/>
  <c r="BF14" i="96" s="1"/>
  <c r="AX25" i="96"/>
  <c r="BB25" i="96" s="1"/>
  <c r="AH25" i="96"/>
  <c r="AL25" i="96" s="1"/>
  <c r="AP25" i="96" s="1"/>
  <c r="AT25" i="96" s="1"/>
  <c r="AV5" i="96"/>
  <c r="AZ5" i="96" s="1"/>
  <c r="BF5" i="96" s="1"/>
  <c r="AF5" i="96"/>
  <c r="AJ5" i="96" s="1"/>
  <c r="AN5" i="96" s="1"/>
  <c r="AR5" i="96" s="1"/>
  <c r="AH23" i="96"/>
  <c r="AL23" i="96" s="1"/>
  <c r="AP23" i="96" s="1"/>
  <c r="AT23" i="96" s="1"/>
  <c r="AX23" i="96"/>
  <c r="BB23" i="96" s="1"/>
  <c r="AF10" i="96"/>
  <c r="AJ10" i="96" s="1"/>
  <c r="AN10" i="96" s="1"/>
  <c r="AR10" i="96" s="1"/>
  <c r="AV10" i="96"/>
  <c r="AZ10" i="96" s="1"/>
  <c r="BF10" i="96" s="1"/>
  <c r="AX10" i="96"/>
  <c r="BB10" i="96" s="1"/>
  <c r="AH10" i="96"/>
  <c r="AL10" i="96" s="1"/>
  <c r="AP10" i="96" s="1"/>
  <c r="AT10" i="96" s="1"/>
  <c r="AX14" i="96"/>
  <c r="BB14" i="96" s="1"/>
  <c r="AH14" i="96"/>
  <c r="AL14" i="96" s="1"/>
  <c r="AP14" i="96" s="1"/>
  <c r="AT14" i="96" s="1"/>
  <c r="AX27" i="96"/>
  <c r="BB27" i="96" s="1"/>
  <c r="AH27" i="96"/>
  <c r="AL27" i="96" s="1"/>
  <c r="AP27" i="96" s="1"/>
  <c r="AT27" i="96" s="1"/>
  <c r="AV27" i="96"/>
  <c r="AZ27" i="96" s="1"/>
  <c r="BF27" i="96" s="1"/>
  <c r="AF27" i="96"/>
  <c r="AJ27" i="96" s="1"/>
  <c r="AN27" i="96" s="1"/>
  <c r="AR27" i="96" s="1"/>
  <c r="AX17" i="96"/>
  <c r="BB17" i="96" s="1"/>
  <c r="C39" i="96"/>
  <c r="BV24" i="96"/>
  <c r="BT25" i="96"/>
  <c r="AV25" i="96"/>
  <c r="AZ25" i="96" s="1"/>
  <c r="BF25" i="96" s="1"/>
  <c r="AN21" i="95"/>
  <c r="AR21" i="95" s="1"/>
  <c r="AX21" i="95" s="1"/>
  <c r="AF21" i="95"/>
  <c r="AJ21" i="95" s="1"/>
  <c r="AN5" i="95"/>
  <c r="AR5" i="95" s="1"/>
  <c r="AX5" i="95" s="1"/>
  <c r="AF5" i="95"/>
  <c r="AJ5" i="95" s="1"/>
  <c r="AN12" i="95"/>
  <c r="AR12" i="95" s="1"/>
  <c r="AX12" i="95" s="1"/>
  <c r="AF12" i="95"/>
  <c r="AJ12" i="95" s="1"/>
  <c r="AN23" i="95"/>
  <c r="AR23" i="95" s="1"/>
  <c r="AX23" i="95" s="1"/>
  <c r="AF23" i="95"/>
  <c r="AJ23" i="95" s="1"/>
  <c r="AF25" i="95"/>
  <c r="AJ25" i="95" s="1"/>
  <c r="AN25" i="95"/>
  <c r="AR25" i="95" s="1"/>
  <c r="AX25" i="95" s="1"/>
  <c r="AN17" i="95"/>
  <c r="AR17" i="95" s="1"/>
  <c r="AX17" i="95" s="1"/>
  <c r="AF17" i="95"/>
  <c r="AJ17" i="95" s="1"/>
  <c r="AF14" i="95"/>
  <c r="AJ14" i="95" s="1"/>
  <c r="AN14" i="95"/>
  <c r="AR14" i="95" s="1"/>
  <c r="AX14" i="95" s="1"/>
  <c r="AH21" i="95"/>
  <c r="AL21" i="95" s="1"/>
  <c r="AP21" i="95"/>
  <c r="AT21" i="95" s="1"/>
  <c r="AP10" i="95"/>
  <c r="AT10" i="95" s="1"/>
  <c r="AH10" i="95"/>
  <c r="AL10" i="95" s="1"/>
  <c r="AP14" i="95"/>
  <c r="AT14" i="95" s="1"/>
  <c r="AH14" i="95"/>
  <c r="AL14" i="95" s="1"/>
  <c r="AP17" i="95"/>
  <c r="AT17" i="95" s="1"/>
  <c r="AH17" i="95"/>
  <c r="AL17" i="95" s="1"/>
  <c r="BN25" i="95"/>
  <c r="AP12" i="95"/>
  <c r="AT12" i="95" s="1"/>
  <c r="AH12" i="95"/>
  <c r="AL12" i="95" s="1"/>
  <c r="AP5" i="95"/>
  <c r="AT5" i="95" s="1"/>
  <c r="AH5" i="95"/>
  <c r="AL5" i="95" s="1"/>
  <c r="AP27" i="95"/>
  <c r="AT27" i="95" s="1"/>
  <c r="AH27" i="95"/>
  <c r="AL27" i="95" s="1"/>
  <c r="AP25" i="95"/>
  <c r="AT25" i="95" s="1"/>
  <c r="AN27" i="95"/>
  <c r="AR27" i="95" s="1"/>
  <c r="AX27" i="95" s="1"/>
  <c r="AF27" i="95"/>
  <c r="AJ27" i="95" s="1"/>
  <c r="C39" i="95"/>
  <c r="AF75" i="93"/>
  <c r="AF76" i="93" s="1"/>
  <c r="AF77" i="93" s="1"/>
  <c r="AF78" i="93" s="1"/>
  <c r="AF79" i="93" s="1"/>
  <c r="AF80" i="93" s="1"/>
  <c r="AF81" i="93" s="1"/>
  <c r="AF82" i="93" s="1"/>
  <c r="AF83" i="93" s="1"/>
  <c r="AF84" i="93" s="1"/>
  <c r="AF85" i="93" s="1"/>
  <c r="AF86" i="93" s="1"/>
  <c r="AF87" i="93" s="1"/>
  <c r="AF88" i="93" s="1"/>
  <c r="AF89" i="93" s="1"/>
  <c r="AF90" i="93" s="1"/>
  <c r="AF91" i="93" s="1"/>
  <c r="AF92" i="93" s="1"/>
  <c r="AF93" i="93" s="1"/>
  <c r="AF94" i="93" s="1"/>
  <c r="AF95" i="93" s="1"/>
  <c r="AF96" i="93" s="1"/>
  <c r="AF97" i="93" s="1"/>
  <c r="AF98" i="93" s="1"/>
  <c r="AF99" i="93" s="1"/>
  <c r="AF100" i="93" s="1"/>
  <c r="AF101" i="93" s="1"/>
  <c r="AF102" i="93" s="1"/>
  <c r="AF103" i="93" s="1"/>
  <c r="AF104" i="93" s="1"/>
  <c r="AF105" i="93" s="1"/>
  <c r="AF106" i="93" s="1"/>
  <c r="C38" i="94"/>
  <c r="BN24" i="94"/>
  <c r="BL25" i="94" s="1"/>
  <c r="AF75" i="94"/>
  <c r="AF76" i="94" s="1"/>
  <c r="AF77" i="94" s="1"/>
  <c r="AF78" i="94" s="1"/>
  <c r="AF79" i="94" s="1"/>
  <c r="AF80" i="94" s="1"/>
  <c r="AF81" i="94" s="1"/>
  <c r="AF82" i="94" s="1"/>
  <c r="AF83" i="94" s="1"/>
  <c r="AF84" i="94" s="1"/>
  <c r="AF85" i="94" s="1"/>
  <c r="AF86" i="94" s="1"/>
  <c r="AF87" i="94" s="1"/>
  <c r="AF88" i="94" s="1"/>
  <c r="AF89" i="94" s="1"/>
  <c r="AF90" i="94" s="1"/>
  <c r="AF91" i="94" s="1"/>
  <c r="AF92" i="94" s="1"/>
  <c r="AF93" i="94" s="1"/>
  <c r="AF94" i="94" s="1"/>
  <c r="AF95" i="94" s="1"/>
  <c r="AF96" i="94" s="1"/>
  <c r="AF97" i="94" s="1"/>
  <c r="AF98" i="94" s="1"/>
  <c r="AF99" i="94" s="1"/>
  <c r="AF100" i="94" s="1"/>
  <c r="AF101" i="94" s="1"/>
  <c r="AF102" i="94" s="1"/>
  <c r="AF103" i="94" s="1"/>
  <c r="AF104" i="94" s="1"/>
  <c r="AF105" i="94" s="1"/>
  <c r="AF106" i="94" s="1"/>
  <c r="AG74" i="94"/>
  <c r="AE75" i="94" s="1"/>
  <c r="BD25" i="93"/>
  <c r="BF24" i="93"/>
  <c r="C40" i="93"/>
  <c r="C40" i="92"/>
  <c r="BF24" i="92"/>
  <c r="BD25" i="92" s="1"/>
  <c r="AG74" i="92"/>
  <c r="AE75" i="92" s="1"/>
  <c r="AD75" i="89"/>
  <c r="AD76" i="89" s="1"/>
  <c r="AD77" i="89" s="1"/>
  <c r="AD78" i="89" s="1"/>
  <c r="AD79" i="89" s="1"/>
  <c r="AD80" i="89" s="1"/>
  <c r="AD81" i="89" s="1"/>
  <c r="AD82" i="89" s="1"/>
  <c r="AD83" i="89" s="1"/>
  <c r="AD84" i="89" s="1"/>
  <c r="AD85" i="89" s="1"/>
  <c r="AD86" i="89" s="1"/>
  <c r="AD87" i="89" s="1"/>
  <c r="AD88" i="89" s="1"/>
  <c r="AD89" i="89" s="1"/>
  <c r="AD90" i="89" s="1"/>
  <c r="AD91" i="89" s="1"/>
  <c r="AD92" i="89" s="1"/>
  <c r="AD93" i="89" s="1"/>
  <c r="AD94" i="89" s="1"/>
  <c r="AD95" i="89" s="1"/>
  <c r="AD96" i="89" s="1"/>
  <c r="AD97" i="89" s="1"/>
  <c r="AD98" i="89" s="1"/>
  <c r="AD99" i="89" s="1"/>
  <c r="AD100" i="89" s="1"/>
  <c r="AD101" i="89" s="1"/>
  <c r="AD102" i="89" s="1"/>
  <c r="AD103" i="89" s="1"/>
  <c r="AD104" i="89" s="1"/>
  <c r="AD105" i="89" s="1"/>
  <c r="AD106" i="89" s="1"/>
  <c r="AF74" i="89"/>
  <c r="AF75" i="89" s="1"/>
  <c r="AF76" i="89" s="1"/>
  <c r="AF77" i="89" s="1"/>
  <c r="AF78" i="89" s="1"/>
  <c r="AF79" i="89" s="1"/>
  <c r="AF80" i="89" s="1"/>
  <c r="AF81" i="89" s="1"/>
  <c r="AF82" i="89" s="1"/>
  <c r="AF83" i="89" s="1"/>
  <c r="AF84" i="89" s="1"/>
  <c r="AF85" i="89" s="1"/>
  <c r="AF86" i="89" s="1"/>
  <c r="AF87" i="89" s="1"/>
  <c r="AF88" i="89" s="1"/>
  <c r="AF89" i="89" s="1"/>
  <c r="AF90" i="89" s="1"/>
  <c r="AF91" i="89" s="1"/>
  <c r="AF92" i="89" s="1"/>
  <c r="AF93" i="89" s="1"/>
  <c r="AF94" i="89" s="1"/>
  <c r="AF95" i="89" s="1"/>
  <c r="AF96" i="89" s="1"/>
  <c r="AF97" i="89" s="1"/>
  <c r="AF98" i="89" s="1"/>
  <c r="AF99" i="89" s="1"/>
  <c r="AF100" i="89" s="1"/>
  <c r="AF101" i="89" s="1"/>
  <c r="AF102" i="89" s="1"/>
  <c r="AF103" i="89" s="1"/>
  <c r="AF104" i="89" s="1"/>
  <c r="AF105" i="89" s="1"/>
  <c r="AF106" i="89" s="1"/>
  <c r="O72" i="89"/>
  <c r="Q70" i="89" s="1"/>
  <c r="S71" i="89"/>
  <c r="AS67" i="89"/>
  <c r="AS69" i="89" s="1"/>
  <c r="AS70" i="89" s="1"/>
  <c r="BN56" i="89"/>
  <c r="BM56" i="89"/>
  <c r="AT55" i="89"/>
  <c r="AL53" i="89"/>
  <c r="C37" i="89"/>
  <c r="AR32" i="89"/>
  <c r="N27" i="89"/>
  <c r="R27" i="89" s="1"/>
  <c r="V27" i="89" s="1"/>
  <c r="Z27" i="89" s="1"/>
  <c r="AD27" i="89" s="1"/>
  <c r="AH27" i="89" s="1"/>
  <c r="AL27" i="89" s="1"/>
  <c r="L27" i="89"/>
  <c r="P27" i="89" s="1"/>
  <c r="T27" i="89" s="1"/>
  <c r="X27" i="89" s="1"/>
  <c r="AB27" i="89" s="1"/>
  <c r="AF27" i="89" s="1"/>
  <c r="AJ27" i="89" s="1"/>
  <c r="AP27" i="89" s="1"/>
  <c r="BS26" i="89"/>
  <c r="BS27" i="89" s="1"/>
  <c r="BS28" i="89" s="1"/>
  <c r="BS29" i="89" s="1"/>
  <c r="BS30" i="89" s="1"/>
  <c r="BS31" i="89" s="1"/>
  <c r="BS32" i="89" s="1"/>
  <c r="BS33" i="89" s="1"/>
  <c r="BS34" i="89" s="1"/>
  <c r="BS35" i="89" s="1"/>
  <c r="BS36" i="89" s="1"/>
  <c r="BS37" i="89" s="1"/>
  <c r="BS38" i="89" s="1"/>
  <c r="BS39" i="89" s="1"/>
  <c r="BS40" i="89" s="1"/>
  <c r="BS41" i="89" s="1"/>
  <c r="BS42" i="89" s="1"/>
  <c r="BS43" i="89" s="1"/>
  <c r="BS44" i="89" s="1"/>
  <c r="BS45" i="89" s="1"/>
  <c r="BS46" i="89" s="1"/>
  <c r="BS47" i="89" s="1"/>
  <c r="BS48" i="89" s="1"/>
  <c r="BS49" i="89" s="1"/>
  <c r="BS50" i="89" s="1"/>
  <c r="BS51" i="89" s="1"/>
  <c r="BS52" i="89" s="1"/>
  <c r="BS53" i="89" s="1"/>
  <c r="BS54" i="89" s="1"/>
  <c r="BS55" i="89" s="1"/>
  <c r="N25" i="89"/>
  <c r="R25" i="89" s="1"/>
  <c r="V25" i="89" s="1"/>
  <c r="Z25" i="89" s="1"/>
  <c r="AD25" i="89" s="1"/>
  <c r="AH25" i="89" s="1"/>
  <c r="AL25" i="89" s="1"/>
  <c r="L25" i="89"/>
  <c r="P25" i="89" s="1"/>
  <c r="T25" i="89" s="1"/>
  <c r="X25" i="89" s="1"/>
  <c r="AB25" i="89" s="1"/>
  <c r="AF25" i="89" s="1"/>
  <c r="AJ25" i="89" s="1"/>
  <c r="AP25" i="89" s="1"/>
  <c r="BW24" i="89"/>
  <c r="BW25" i="89" s="1"/>
  <c r="BW26" i="89" s="1"/>
  <c r="BW27" i="89" s="1"/>
  <c r="BW28" i="89" s="1"/>
  <c r="BW29" i="89" s="1"/>
  <c r="BW30" i="89" s="1"/>
  <c r="BW31" i="89" s="1"/>
  <c r="BW32" i="89" s="1"/>
  <c r="BW33" i="89" s="1"/>
  <c r="BW34" i="89" s="1"/>
  <c r="BW35" i="89" s="1"/>
  <c r="BW36" i="89" s="1"/>
  <c r="BW37" i="89" s="1"/>
  <c r="BW38" i="89" s="1"/>
  <c r="BW39" i="89" s="1"/>
  <c r="BW40" i="89" s="1"/>
  <c r="BW41" i="89" s="1"/>
  <c r="BW42" i="89" s="1"/>
  <c r="BW43" i="89" s="1"/>
  <c r="BW44" i="89" s="1"/>
  <c r="BW45" i="89" s="1"/>
  <c r="BW46" i="89" s="1"/>
  <c r="BW47" i="89" s="1"/>
  <c r="BW48" i="89" s="1"/>
  <c r="BW49" i="89" s="1"/>
  <c r="BW50" i="89" s="1"/>
  <c r="BW51" i="89" s="1"/>
  <c r="BW52" i="89" s="1"/>
  <c r="BW53" i="89" s="1"/>
  <c r="BW54" i="89" s="1"/>
  <c r="BW55" i="89" s="1"/>
  <c r="BI24" i="89"/>
  <c r="BI25" i="89" s="1"/>
  <c r="BI26" i="89" s="1"/>
  <c r="BI27" i="89" s="1"/>
  <c r="BI28" i="89" s="1"/>
  <c r="BI29" i="89" s="1"/>
  <c r="BI30" i="89" s="1"/>
  <c r="BI31" i="89" s="1"/>
  <c r="BI32" i="89" s="1"/>
  <c r="BI33" i="89" s="1"/>
  <c r="BI34" i="89" s="1"/>
  <c r="BI35" i="89" s="1"/>
  <c r="BI36" i="89" s="1"/>
  <c r="BI37" i="89" s="1"/>
  <c r="BI38" i="89" s="1"/>
  <c r="BI39" i="89" s="1"/>
  <c r="BI40" i="89" s="1"/>
  <c r="BI41" i="89" s="1"/>
  <c r="BI42" i="89" s="1"/>
  <c r="BI43" i="89" s="1"/>
  <c r="BI44" i="89" s="1"/>
  <c r="BI45" i="89" s="1"/>
  <c r="BI46" i="89" s="1"/>
  <c r="BI47" i="89" s="1"/>
  <c r="BI48" i="89" s="1"/>
  <c r="BI49" i="89" s="1"/>
  <c r="BI50" i="89" s="1"/>
  <c r="BI51" i="89" s="1"/>
  <c r="BI52" i="89" s="1"/>
  <c r="BI53" i="89" s="1"/>
  <c r="BI54" i="89" s="1"/>
  <c r="BI55" i="89" s="1"/>
  <c r="BE24" i="89"/>
  <c r="BE25" i="89" s="1"/>
  <c r="BE26" i="89" s="1"/>
  <c r="BE27" i="89" s="1"/>
  <c r="BE28" i="89" s="1"/>
  <c r="BE29" i="89" s="1"/>
  <c r="BE30" i="89" s="1"/>
  <c r="BE31" i="89" s="1"/>
  <c r="BE32" i="89" s="1"/>
  <c r="BE33" i="89" s="1"/>
  <c r="BE34" i="89" s="1"/>
  <c r="BE35" i="89" s="1"/>
  <c r="BE36" i="89" s="1"/>
  <c r="BE37" i="89" s="1"/>
  <c r="BE38" i="89" s="1"/>
  <c r="BE39" i="89" s="1"/>
  <c r="BE40" i="89" s="1"/>
  <c r="BE41" i="89" s="1"/>
  <c r="BE42" i="89" s="1"/>
  <c r="BE43" i="89" s="1"/>
  <c r="BE44" i="89" s="1"/>
  <c r="BE45" i="89" s="1"/>
  <c r="BE46" i="89" s="1"/>
  <c r="BE47" i="89" s="1"/>
  <c r="BE48" i="89" s="1"/>
  <c r="BE49" i="89" s="1"/>
  <c r="BE50" i="89" s="1"/>
  <c r="BE51" i="89" s="1"/>
  <c r="BE52" i="89" s="1"/>
  <c r="BE53" i="89" s="1"/>
  <c r="BE54" i="89" s="1"/>
  <c r="BE55" i="89" s="1"/>
  <c r="BC24" i="89"/>
  <c r="BC25" i="89" s="1"/>
  <c r="BC26" i="89" s="1"/>
  <c r="BC27" i="89" s="1"/>
  <c r="BC28" i="89" s="1"/>
  <c r="BC29" i="89" s="1"/>
  <c r="BC30" i="89" s="1"/>
  <c r="BC31" i="89" s="1"/>
  <c r="BC32" i="89" s="1"/>
  <c r="BC33" i="89" s="1"/>
  <c r="BC34" i="89" s="1"/>
  <c r="BC35" i="89" s="1"/>
  <c r="BC36" i="89" s="1"/>
  <c r="BC37" i="89" s="1"/>
  <c r="BC38" i="89" s="1"/>
  <c r="BC39" i="89" s="1"/>
  <c r="BC40" i="89" s="1"/>
  <c r="BC41" i="89" s="1"/>
  <c r="BC42" i="89" s="1"/>
  <c r="BC43" i="89" s="1"/>
  <c r="BC44" i="89" s="1"/>
  <c r="BC45" i="89" s="1"/>
  <c r="BC46" i="89" s="1"/>
  <c r="BC47" i="89" s="1"/>
  <c r="BC48" i="89" s="1"/>
  <c r="BC49" i="89" s="1"/>
  <c r="BC50" i="89" s="1"/>
  <c r="BC51" i="89" s="1"/>
  <c r="BC52" i="89" s="1"/>
  <c r="BC53" i="89" s="1"/>
  <c r="BC54" i="89" s="1"/>
  <c r="BC55" i="89" s="1"/>
  <c r="BF23" i="89"/>
  <c r="BD24" i="89" s="1"/>
  <c r="N23" i="89"/>
  <c r="R23" i="89" s="1"/>
  <c r="V23" i="89" s="1"/>
  <c r="Z23" i="89" s="1"/>
  <c r="AD23" i="89" s="1"/>
  <c r="AH23" i="89" s="1"/>
  <c r="AL23" i="89" s="1"/>
  <c r="L23" i="89"/>
  <c r="P23" i="89" s="1"/>
  <c r="T23" i="89" s="1"/>
  <c r="X23" i="89" s="1"/>
  <c r="AB23" i="89" s="1"/>
  <c r="AF23" i="89" s="1"/>
  <c r="AJ23" i="89" s="1"/>
  <c r="AP23" i="89" s="1"/>
  <c r="N21" i="89"/>
  <c r="R21" i="89" s="1"/>
  <c r="V21" i="89" s="1"/>
  <c r="Z21" i="89" s="1"/>
  <c r="AD21" i="89" s="1"/>
  <c r="AH21" i="89" s="1"/>
  <c r="AL21" i="89" s="1"/>
  <c r="L21" i="89"/>
  <c r="P21" i="89" s="1"/>
  <c r="T21" i="89" s="1"/>
  <c r="X21" i="89" s="1"/>
  <c r="AB21" i="89" s="1"/>
  <c r="AF21" i="89" s="1"/>
  <c r="AJ21" i="89" s="1"/>
  <c r="AP21" i="89" s="1"/>
  <c r="N17" i="89"/>
  <c r="R17" i="89" s="1"/>
  <c r="V17" i="89" s="1"/>
  <c r="Z17" i="89" s="1"/>
  <c r="AD17" i="89" s="1"/>
  <c r="AH17" i="89" s="1"/>
  <c r="AL17" i="89" s="1"/>
  <c r="L17" i="89"/>
  <c r="P17" i="89" s="1"/>
  <c r="T17" i="89" s="1"/>
  <c r="X17" i="89" s="1"/>
  <c r="AB17" i="89" s="1"/>
  <c r="AF17" i="89" s="1"/>
  <c r="AJ17" i="89" s="1"/>
  <c r="AP17" i="89" s="1"/>
  <c r="N14" i="89"/>
  <c r="R14" i="89" s="1"/>
  <c r="V14" i="89" s="1"/>
  <c r="Z14" i="89" s="1"/>
  <c r="AD14" i="89" s="1"/>
  <c r="AH14" i="89" s="1"/>
  <c r="AL14" i="89" s="1"/>
  <c r="L14" i="89"/>
  <c r="P14" i="89" s="1"/>
  <c r="T14" i="89" s="1"/>
  <c r="X14" i="89" s="1"/>
  <c r="AB14" i="89" s="1"/>
  <c r="AF14" i="89" s="1"/>
  <c r="AJ14" i="89" s="1"/>
  <c r="AP14" i="89" s="1"/>
  <c r="N12" i="89"/>
  <c r="R12" i="89" s="1"/>
  <c r="V12" i="89" s="1"/>
  <c r="Z12" i="89" s="1"/>
  <c r="AD12" i="89" s="1"/>
  <c r="AH12" i="89" s="1"/>
  <c r="AL12" i="89" s="1"/>
  <c r="L12" i="89"/>
  <c r="P12" i="89" s="1"/>
  <c r="T12" i="89" s="1"/>
  <c r="X12" i="89" s="1"/>
  <c r="AB12" i="89" s="1"/>
  <c r="AF12" i="89" s="1"/>
  <c r="AJ12" i="89" s="1"/>
  <c r="AP12" i="89" s="1"/>
  <c r="N10" i="89"/>
  <c r="R10" i="89" s="1"/>
  <c r="V10" i="89" s="1"/>
  <c r="Z10" i="89" s="1"/>
  <c r="AD10" i="89" s="1"/>
  <c r="AH10" i="89" s="1"/>
  <c r="AL10" i="89" s="1"/>
  <c r="L10" i="89"/>
  <c r="P10" i="89" s="1"/>
  <c r="T10" i="89" s="1"/>
  <c r="X10" i="89" s="1"/>
  <c r="AB10" i="89" s="1"/>
  <c r="AF10" i="89" s="1"/>
  <c r="AJ10" i="89" s="1"/>
  <c r="AP10" i="89" s="1"/>
  <c r="E10" i="89"/>
  <c r="E12" i="89" s="1"/>
  <c r="E13" i="89" s="1"/>
  <c r="N5" i="89"/>
  <c r="R5" i="89" s="1"/>
  <c r="V5" i="89" s="1"/>
  <c r="Z5" i="89" s="1"/>
  <c r="AD5" i="89" s="1"/>
  <c r="AH5" i="89" s="1"/>
  <c r="AL5" i="89" s="1"/>
  <c r="L5" i="89"/>
  <c r="P5" i="89" s="1"/>
  <c r="T5" i="89" s="1"/>
  <c r="X5" i="89" s="1"/>
  <c r="AB5" i="89" s="1"/>
  <c r="AF5" i="89" s="1"/>
  <c r="AJ5" i="89" s="1"/>
  <c r="AP5" i="89" s="1"/>
  <c r="AG94" i="117" l="1"/>
  <c r="AE95" i="117" s="1"/>
  <c r="BF43" i="117"/>
  <c r="BD44" i="117" s="1"/>
  <c r="BT42" i="117"/>
  <c r="BR43" i="117"/>
  <c r="O162" i="116"/>
  <c r="S162" i="116" s="1"/>
  <c r="V162" i="116" s="1"/>
  <c r="AE162" i="116" s="1"/>
  <c r="J164" i="116"/>
  <c r="AE76" i="101"/>
  <c r="BL26" i="95"/>
  <c r="AG75" i="105"/>
  <c r="AE76" i="105" s="1"/>
  <c r="BC6" i="115"/>
  <c r="AA29" i="115"/>
  <c r="AA30" i="115" s="1"/>
  <c r="BF2" i="115"/>
  <c r="AL10" i="115" s="1"/>
  <c r="AL12" i="115" s="1"/>
  <c r="AD18" i="115"/>
  <c r="AC22" i="115"/>
  <c r="AB24" i="115"/>
  <c r="AB23" i="115"/>
  <c r="BD6" i="115"/>
  <c r="BE6" i="115"/>
  <c r="Z29" i="115"/>
  <c r="BF30" i="113"/>
  <c r="BD31" i="113"/>
  <c r="AG81" i="113"/>
  <c r="AE82" i="113" s="1"/>
  <c r="DR30" i="112"/>
  <c r="DP31" i="112" s="1"/>
  <c r="AG80" i="112"/>
  <c r="AE81" i="112"/>
  <c r="BF23" i="98"/>
  <c r="BJ23" i="98" s="1"/>
  <c r="AX23" i="98"/>
  <c r="BB23" i="98" s="1"/>
  <c r="AX12" i="98"/>
  <c r="BB12" i="98" s="1"/>
  <c r="BF12" i="98"/>
  <c r="BJ12" i="98" s="1"/>
  <c r="BF27" i="98"/>
  <c r="BJ27" i="98" s="1"/>
  <c r="AX27" i="98"/>
  <c r="BB27" i="98" s="1"/>
  <c r="BF24" i="89"/>
  <c r="BD25" i="89" s="1"/>
  <c r="BF25" i="89" s="1"/>
  <c r="BD26" i="89" s="1"/>
  <c r="BF26" i="89" s="1"/>
  <c r="BD27" i="89" s="1"/>
  <c r="AE76" i="96"/>
  <c r="AX17" i="98"/>
  <c r="BB17" i="98" s="1"/>
  <c r="BF17" i="98"/>
  <c r="BJ17" i="98" s="1"/>
  <c r="BF10" i="98"/>
  <c r="BJ10" i="98" s="1"/>
  <c r="AX10" i="98"/>
  <c r="BB10" i="98" s="1"/>
  <c r="AV14" i="105"/>
  <c r="AZ14" i="105" s="1"/>
  <c r="AG75" i="95"/>
  <c r="AE76" i="95" s="1"/>
  <c r="BD10" i="98"/>
  <c r="BH10" i="98" s="1"/>
  <c r="AV10" i="98"/>
  <c r="AZ10" i="98" s="1"/>
  <c r="BD27" i="98"/>
  <c r="BH27" i="98" s="1"/>
  <c r="AV27" i="98"/>
  <c r="AZ27" i="98" s="1"/>
  <c r="CB14" i="105"/>
  <c r="CF14" i="105" s="1"/>
  <c r="AX14" i="98"/>
  <c r="BB14" i="98" s="1"/>
  <c r="BF14" i="98"/>
  <c r="BJ14" i="98" s="1"/>
  <c r="AG75" i="107"/>
  <c r="AE76" i="107" s="1"/>
  <c r="AG76" i="107" s="1"/>
  <c r="AE77" i="107" s="1"/>
  <c r="AX25" i="98"/>
  <c r="BB25" i="98" s="1"/>
  <c r="BF25" i="98"/>
  <c r="BJ25" i="98" s="1"/>
  <c r="DR26" i="107"/>
  <c r="DP27" i="107" s="1"/>
  <c r="AV14" i="107"/>
  <c r="AZ14" i="107" s="1"/>
  <c r="BD14" i="107"/>
  <c r="BH14" i="107" s="1"/>
  <c r="BL14" i="107" s="1"/>
  <c r="BP14" i="107" s="1"/>
  <c r="BT14" i="107" s="1"/>
  <c r="BX14" i="107" s="1"/>
  <c r="BD27" i="107"/>
  <c r="BH27" i="107" s="1"/>
  <c r="BL27" i="107" s="1"/>
  <c r="BP27" i="107" s="1"/>
  <c r="BT27" i="107" s="1"/>
  <c r="BX27" i="107" s="1"/>
  <c r="AV27" i="107"/>
  <c r="AZ27" i="107" s="1"/>
  <c r="BD21" i="107"/>
  <c r="BH21" i="107" s="1"/>
  <c r="BL21" i="107" s="1"/>
  <c r="BP21" i="107" s="1"/>
  <c r="BT21" i="107" s="1"/>
  <c r="BX21" i="107" s="1"/>
  <c r="AV21" i="107"/>
  <c r="AZ21" i="107" s="1"/>
  <c r="BF27" i="107"/>
  <c r="BJ27" i="107" s="1"/>
  <c r="BN27" i="107" s="1"/>
  <c r="BR27" i="107" s="1"/>
  <c r="BV27" i="107" s="1"/>
  <c r="BZ27" i="107" s="1"/>
  <c r="AX27" i="107"/>
  <c r="BB27" i="107" s="1"/>
  <c r="AX21" i="107"/>
  <c r="BB21" i="107" s="1"/>
  <c r="BF21" i="107"/>
  <c r="BJ21" i="107" s="1"/>
  <c r="BN21" i="107" s="1"/>
  <c r="BR21" i="107" s="1"/>
  <c r="BV21" i="107" s="1"/>
  <c r="BZ21" i="107" s="1"/>
  <c r="BF14" i="107"/>
  <c r="BJ14" i="107" s="1"/>
  <c r="BN14" i="107" s="1"/>
  <c r="BR14" i="107" s="1"/>
  <c r="BV14" i="107" s="1"/>
  <c r="BZ14" i="107" s="1"/>
  <c r="AX14" i="107"/>
  <c r="BB14" i="107" s="1"/>
  <c r="BF10" i="107"/>
  <c r="BJ10" i="107" s="1"/>
  <c r="BN10" i="107" s="1"/>
  <c r="BR10" i="107" s="1"/>
  <c r="BV10" i="107" s="1"/>
  <c r="BZ10" i="107" s="1"/>
  <c r="AX10" i="107"/>
  <c r="BB10" i="107" s="1"/>
  <c r="BD25" i="107"/>
  <c r="BH25" i="107" s="1"/>
  <c r="BL25" i="107" s="1"/>
  <c r="BP25" i="107" s="1"/>
  <c r="BT25" i="107" s="1"/>
  <c r="BX25" i="107" s="1"/>
  <c r="AV25" i="107"/>
  <c r="AZ25" i="107" s="1"/>
  <c r="C41" i="107"/>
  <c r="BD10" i="107"/>
  <c r="BH10" i="107" s="1"/>
  <c r="BL10" i="107" s="1"/>
  <c r="BP10" i="107" s="1"/>
  <c r="BT10" i="107" s="1"/>
  <c r="BX10" i="107" s="1"/>
  <c r="AV10" i="107"/>
  <c r="AZ10" i="107" s="1"/>
  <c r="BD23" i="107"/>
  <c r="BH23" i="107" s="1"/>
  <c r="BL23" i="107" s="1"/>
  <c r="BP23" i="107" s="1"/>
  <c r="BT23" i="107" s="1"/>
  <c r="BX23" i="107" s="1"/>
  <c r="AV23" i="107"/>
  <c r="AZ23" i="107" s="1"/>
  <c r="AV12" i="107"/>
  <c r="AZ12" i="107" s="1"/>
  <c r="BD12" i="107"/>
  <c r="BH12" i="107" s="1"/>
  <c r="BL12" i="107" s="1"/>
  <c r="BP12" i="107" s="1"/>
  <c r="BT12" i="107" s="1"/>
  <c r="BX12" i="107" s="1"/>
  <c r="BF23" i="107"/>
  <c r="BJ23" i="107" s="1"/>
  <c r="BN23" i="107" s="1"/>
  <c r="BR23" i="107" s="1"/>
  <c r="BV23" i="107" s="1"/>
  <c r="BZ23" i="107" s="1"/>
  <c r="AX23" i="107"/>
  <c r="BB23" i="107" s="1"/>
  <c r="CD25" i="107"/>
  <c r="CH25" i="107" s="1"/>
  <c r="CL25" i="107"/>
  <c r="CP25" i="107" s="1"/>
  <c r="BF17" i="107"/>
  <c r="BJ17" i="107" s="1"/>
  <c r="BN17" i="107" s="1"/>
  <c r="BR17" i="107" s="1"/>
  <c r="BV17" i="107" s="1"/>
  <c r="BZ17" i="107" s="1"/>
  <c r="AX17" i="107"/>
  <c r="BB17" i="107" s="1"/>
  <c r="AV17" i="107"/>
  <c r="AZ17" i="107" s="1"/>
  <c r="BD17" i="107"/>
  <c r="BH17" i="107" s="1"/>
  <c r="BL17" i="107" s="1"/>
  <c r="BP17" i="107" s="1"/>
  <c r="BT17" i="107" s="1"/>
  <c r="BX17" i="107" s="1"/>
  <c r="BF5" i="107"/>
  <c r="BJ5" i="107" s="1"/>
  <c r="BN5" i="107" s="1"/>
  <c r="BR5" i="107" s="1"/>
  <c r="BV5" i="107" s="1"/>
  <c r="BZ5" i="107" s="1"/>
  <c r="AX5" i="107"/>
  <c r="BB5" i="107" s="1"/>
  <c r="BF12" i="107"/>
  <c r="BJ12" i="107" s="1"/>
  <c r="BN12" i="107" s="1"/>
  <c r="BR12" i="107" s="1"/>
  <c r="BV12" i="107" s="1"/>
  <c r="BZ12" i="107" s="1"/>
  <c r="AX12" i="107"/>
  <c r="BB12" i="107" s="1"/>
  <c r="BD5" i="107"/>
  <c r="BH5" i="107" s="1"/>
  <c r="BL5" i="107" s="1"/>
  <c r="BP5" i="107" s="1"/>
  <c r="BT5" i="107" s="1"/>
  <c r="BX5" i="107" s="1"/>
  <c r="AV5" i="107"/>
  <c r="AZ5" i="107" s="1"/>
  <c r="DR25" i="106"/>
  <c r="DP26" i="106" s="1"/>
  <c r="AG76" i="106"/>
  <c r="AE77" i="106" s="1"/>
  <c r="AX12" i="106"/>
  <c r="BB12" i="106" s="1"/>
  <c r="BF12" i="106"/>
  <c r="BJ12" i="106" s="1"/>
  <c r="BN12" i="106" s="1"/>
  <c r="BR12" i="106" s="1"/>
  <c r="BV12" i="106" s="1"/>
  <c r="BZ12" i="106" s="1"/>
  <c r="AV14" i="106"/>
  <c r="AZ14" i="106" s="1"/>
  <c r="BD14" i="106"/>
  <c r="BH14" i="106" s="1"/>
  <c r="BL14" i="106" s="1"/>
  <c r="BP14" i="106" s="1"/>
  <c r="BT14" i="106" s="1"/>
  <c r="BX14" i="106" s="1"/>
  <c r="AV10" i="106"/>
  <c r="AZ10" i="106" s="1"/>
  <c r="BD10" i="106"/>
  <c r="BH10" i="106" s="1"/>
  <c r="BL10" i="106" s="1"/>
  <c r="BP10" i="106" s="1"/>
  <c r="BT10" i="106" s="1"/>
  <c r="BX10" i="106" s="1"/>
  <c r="C41" i="106"/>
  <c r="BF25" i="106"/>
  <c r="BJ25" i="106" s="1"/>
  <c r="BN25" i="106" s="1"/>
  <c r="BR25" i="106" s="1"/>
  <c r="BV25" i="106" s="1"/>
  <c r="BZ25" i="106" s="1"/>
  <c r="AX25" i="106"/>
  <c r="BB25" i="106" s="1"/>
  <c r="BD21" i="106"/>
  <c r="BH21" i="106" s="1"/>
  <c r="BL21" i="106" s="1"/>
  <c r="BP21" i="106" s="1"/>
  <c r="BT21" i="106" s="1"/>
  <c r="BX21" i="106" s="1"/>
  <c r="AV21" i="106"/>
  <c r="AZ21" i="106" s="1"/>
  <c r="BD23" i="106"/>
  <c r="BH23" i="106" s="1"/>
  <c r="BL23" i="106" s="1"/>
  <c r="BP23" i="106" s="1"/>
  <c r="BT23" i="106" s="1"/>
  <c r="BX23" i="106" s="1"/>
  <c r="AV23" i="106"/>
  <c r="AZ23" i="106" s="1"/>
  <c r="BF23" i="106"/>
  <c r="BJ23" i="106" s="1"/>
  <c r="BN23" i="106" s="1"/>
  <c r="BR23" i="106" s="1"/>
  <c r="BV23" i="106" s="1"/>
  <c r="BZ23" i="106" s="1"/>
  <c r="AX23" i="106"/>
  <c r="BB23" i="106" s="1"/>
  <c r="BD17" i="106"/>
  <c r="BH17" i="106" s="1"/>
  <c r="BL17" i="106" s="1"/>
  <c r="BP17" i="106" s="1"/>
  <c r="BT17" i="106" s="1"/>
  <c r="BX17" i="106" s="1"/>
  <c r="AV17" i="106"/>
  <c r="AZ17" i="106" s="1"/>
  <c r="AV12" i="106"/>
  <c r="AZ12" i="106" s="1"/>
  <c r="BD12" i="106"/>
  <c r="BH12" i="106" s="1"/>
  <c r="BL12" i="106" s="1"/>
  <c r="BP12" i="106" s="1"/>
  <c r="BT12" i="106" s="1"/>
  <c r="BX12" i="106" s="1"/>
  <c r="CB25" i="106"/>
  <c r="CF25" i="106" s="1"/>
  <c r="CJ25" i="106"/>
  <c r="CN25" i="106" s="1"/>
  <c r="AX17" i="106"/>
  <c r="BB17" i="106" s="1"/>
  <c r="BF17" i="106"/>
  <c r="BJ17" i="106" s="1"/>
  <c r="BN17" i="106" s="1"/>
  <c r="BR17" i="106" s="1"/>
  <c r="BV17" i="106" s="1"/>
  <c r="BZ17" i="106" s="1"/>
  <c r="BF10" i="106"/>
  <c r="BJ10" i="106" s="1"/>
  <c r="BN10" i="106" s="1"/>
  <c r="BR10" i="106" s="1"/>
  <c r="BV10" i="106" s="1"/>
  <c r="BZ10" i="106" s="1"/>
  <c r="AX10" i="106"/>
  <c r="BB10" i="106" s="1"/>
  <c r="AX5" i="106"/>
  <c r="BB5" i="106" s="1"/>
  <c r="BF5" i="106"/>
  <c r="BJ5" i="106" s="1"/>
  <c r="BN5" i="106" s="1"/>
  <c r="BR5" i="106" s="1"/>
  <c r="BV5" i="106" s="1"/>
  <c r="BZ5" i="106" s="1"/>
  <c r="BF14" i="106"/>
  <c r="BJ14" i="106" s="1"/>
  <c r="BN14" i="106" s="1"/>
  <c r="BR14" i="106" s="1"/>
  <c r="BV14" i="106" s="1"/>
  <c r="BZ14" i="106" s="1"/>
  <c r="AX14" i="106"/>
  <c r="BB14" i="106" s="1"/>
  <c r="AV5" i="106"/>
  <c r="AZ5" i="106" s="1"/>
  <c r="BD5" i="106"/>
  <c r="BH5" i="106" s="1"/>
  <c r="BL5" i="106" s="1"/>
  <c r="BP5" i="106" s="1"/>
  <c r="BT5" i="106" s="1"/>
  <c r="BX5" i="106" s="1"/>
  <c r="BD27" i="106"/>
  <c r="BH27" i="106" s="1"/>
  <c r="BL27" i="106" s="1"/>
  <c r="BP27" i="106" s="1"/>
  <c r="BT27" i="106" s="1"/>
  <c r="BX27" i="106" s="1"/>
  <c r="AV27" i="106"/>
  <c r="AZ27" i="106" s="1"/>
  <c r="AX27" i="106"/>
  <c r="BB27" i="106" s="1"/>
  <c r="BF27" i="106"/>
  <c r="BJ27" i="106" s="1"/>
  <c r="BN27" i="106" s="1"/>
  <c r="BR27" i="106" s="1"/>
  <c r="BV27" i="106" s="1"/>
  <c r="BZ27" i="106" s="1"/>
  <c r="BF21" i="106"/>
  <c r="BJ21" i="106" s="1"/>
  <c r="BN21" i="106" s="1"/>
  <c r="BR21" i="106" s="1"/>
  <c r="BV21" i="106" s="1"/>
  <c r="BZ21" i="106" s="1"/>
  <c r="AX21" i="106"/>
  <c r="BB21" i="106" s="1"/>
  <c r="BD23" i="105"/>
  <c r="BH23" i="105" s="1"/>
  <c r="BL23" i="105" s="1"/>
  <c r="BP23" i="105" s="1"/>
  <c r="BT23" i="105" s="1"/>
  <c r="BX23" i="105" s="1"/>
  <c r="AV23" i="105"/>
  <c r="AZ23" i="105" s="1"/>
  <c r="BF21" i="105"/>
  <c r="BJ21" i="105" s="1"/>
  <c r="BN21" i="105" s="1"/>
  <c r="BR21" i="105" s="1"/>
  <c r="BV21" i="105" s="1"/>
  <c r="BZ21" i="105" s="1"/>
  <c r="AX21" i="105"/>
  <c r="BB21" i="105" s="1"/>
  <c r="AX10" i="105"/>
  <c r="BB10" i="105" s="1"/>
  <c r="BF10" i="105"/>
  <c r="BJ10" i="105" s="1"/>
  <c r="BN10" i="105" s="1"/>
  <c r="BR10" i="105" s="1"/>
  <c r="BV10" i="105" s="1"/>
  <c r="BZ10" i="105" s="1"/>
  <c r="AX5" i="105"/>
  <c r="BB5" i="105" s="1"/>
  <c r="BF5" i="105"/>
  <c r="BJ5" i="105" s="1"/>
  <c r="BN5" i="105" s="1"/>
  <c r="BR5" i="105" s="1"/>
  <c r="BV5" i="105" s="1"/>
  <c r="BZ5" i="105" s="1"/>
  <c r="AX25" i="105"/>
  <c r="BB25" i="105" s="1"/>
  <c r="BF25" i="105"/>
  <c r="BJ25" i="105" s="1"/>
  <c r="BN25" i="105" s="1"/>
  <c r="BR25" i="105" s="1"/>
  <c r="BV25" i="105" s="1"/>
  <c r="BZ25" i="105" s="1"/>
  <c r="AV5" i="105"/>
  <c r="AZ5" i="105" s="1"/>
  <c r="BD5" i="105"/>
  <c r="BH5" i="105" s="1"/>
  <c r="BL5" i="105" s="1"/>
  <c r="BP5" i="105" s="1"/>
  <c r="BT5" i="105" s="1"/>
  <c r="BX5" i="105" s="1"/>
  <c r="BF23" i="105"/>
  <c r="BJ23" i="105" s="1"/>
  <c r="BN23" i="105" s="1"/>
  <c r="BR23" i="105" s="1"/>
  <c r="BV23" i="105" s="1"/>
  <c r="BZ23" i="105" s="1"/>
  <c r="AX23" i="105"/>
  <c r="BB23" i="105" s="1"/>
  <c r="AG76" i="105"/>
  <c r="AE77" i="105" s="1"/>
  <c r="DR25" i="105"/>
  <c r="DP26" i="105" s="1"/>
  <c r="BF12" i="105"/>
  <c r="BJ12" i="105" s="1"/>
  <c r="BN12" i="105" s="1"/>
  <c r="BR12" i="105" s="1"/>
  <c r="BV12" i="105" s="1"/>
  <c r="BZ12" i="105" s="1"/>
  <c r="AX12" i="105"/>
  <c r="BB12" i="105" s="1"/>
  <c r="BD21" i="105"/>
  <c r="BH21" i="105" s="1"/>
  <c r="BL21" i="105" s="1"/>
  <c r="BP21" i="105" s="1"/>
  <c r="BT21" i="105" s="1"/>
  <c r="BX21" i="105" s="1"/>
  <c r="AV21" i="105"/>
  <c r="AZ21" i="105" s="1"/>
  <c r="C41" i="105"/>
  <c r="BD27" i="105"/>
  <c r="BH27" i="105" s="1"/>
  <c r="BL27" i="105" s="1"/>
  <c r="BP27" i="105" s="1"/>
  <c r="BT27" i="105" s="1"/>
  <c r="BX27" i="105" s="1"/>
  <c r="AV27" i="105"/>
  <c r="AZ27" i="105" s="1"/>
  <c r="AX27" i="105"/>
  <c r="BB27" i="105" s="1"/>
  <c r="BF27" i="105"/>
  <c r="BJ27" i="105" s="1"/>
  <c r="BN27" i="105" s="1"/>
  <c r="BR27" i="105" s="1"/>
  <c r="BV27" i="105" s="1"/>
  <c r="BZ27" i="105" s="1"/>
  <c r="BD25" i="105"/>
  <c r="BH25" i="105" s="1"/>
  <c r="BL25" i="105" s="1"/>
  <c r="BP25" i="105" s="1"/>
  <c r="BT25" i="105" s="1"/>
  <c r="BX25" i="105" s="1"/>
  <c r="AV25" i="105"/>
  <c r="AZ25" i="105" s="1"/>
  <c r="BD10" i="105"/>
  <c r="BH10" i="105" s="1"/>
  <c r="BL10" i="105" s="1"/>
  <c r="BP10" i="105" s="1"/>
  <c r="BT10" i="105" s="1"/>
  <c r="BX10" i="105" s="1"/>
  <c r="AV10" i="105"/>
  <c r="AZ10" i="105" s="1"/>
  <c r="BF14" i="105"/>
  <c r="BJ14" i="105" s="1"/>
  <c r="BN14" i="105" s="1"/>
  <c r="BR14" i="105" s="1"/>
  <c r="BV14" i="105" s="1"/>
  <c r="BZ14" i="105" s="1"/>
  <c r="AX14" i="105"/>
  <c r="BB14" i="105" s="1"/>
  <c r="AV17" i="105"/>
  <c r="AZ17" i="105" s="1"/>
  <c r="BD17" i="105"/>
  <c r="BH17" i="105" s="1"/>
  <c r="BL17" i="105" s="1"/>
  <c r="BP17" i="105" s="1"/>
  <c r="BT17" i="105" s="1"/>
  <c r="BX17" i="105" s="1"/>
  <c r="BF17" i="105"/>
  <c r="BJ17" i="105" s="1"/>
  <c r="BN17" i="105" s="1"/>
  <c r="BR17" i="105" s="1"/>
  <c r="BV17" i="105" s="1"/>
  <c r="BZ17" i="105" s="1"/>
  <c r="AX17" i="105"/>
  <c r="BB17" i="105" s="1"/>
  <c r="AV12" i="105"/>
  <c r="AZ12" i="105" s="1"/>
  <c r="BD12" i="105"/>
  <c r="BH12" i="105" s="1"/>
  <c r="BL12" i="105" s="1"/>
  <c r="BP12" i="105" s="1"/>
  <c r="BT12" i="105" s="1"/>
  <c r="BX12" i="105" s="1"/>
  <c r="CL26" i="104"/>
  <c r="CJ27" i="104" s="1"/>
  <c r="BF27" i="104"/>
  <c r="BJ27" i="104" s="1"/>
  <c r="AX27" i="104"/>
  <c r="BB27" i="104" s="1"/>
  <c r="AX23" i="104"/>
  <c r="BB23" i="104" s="1"/>
  <c r="BF23" i="104"/>
  <c r="BJ23" i="104" s="1"/>
  <c r="BF12" i="104"/>
  <c r="BJ12" i="104" s="1"/>
  <c r="AX12" i="104"/>
  <c r="BB12" i="104" s="1"/>
  <c r="BF10" i="104"/>
  <c r="BJ10" i="104" s="1"/>
  <c r="AX10" i="104"/>
  <c r="BB10" i="104" s="1"/>
  <c r="AV14" i="104"/>
  <c r="AZ14" i="104" s="1"/>
  <c r="BD14" i="104"/>
  <c r="BH14" i="104" s="1"/>
  <c r="BD12" i="104"/>
  <c r="BH12" i="104" s="1"/>
  <c r="AV12" i="104"/>
  <c r="AZ12" i="104" s="1"/>
  <c r="AV17" i="104"/>
  <c r="AZ17" i="104" s="1"/>
  <c r="BD17" i="104"/>
  <c r="BH17" i="104" s="1"/>
  <c r="BD23" i="104"/>
  <c r="BH23" i="104" s="1"/>
  <c r="AV23" i="104"/>
  <c r="AZ23" i="104" s="1"/>
  <c r="AV21" i="104"/>
  <c r="AZ21" i="104" s="1"/>
  <c r="BD21" i="104"/>
  <c r="BH21" i="104" s="1"/>
  <c r="BD10" i="104"/>
  <c r="BH10" i="104" s="1"/>
  <c r="AV10" i="104"/>
  <c r="AZ10" i="104" s="1"/>
  <c r="AX5" i="104"/>
  <c r="BB5" i="104" s="1"/>
  <c r="BF5" i="104"/>
  <c r="BJ5" i="104" s="1"/>
  <c r="AX25" i="104"/>
  <c r="BB25" i="104" s="1"/>
  <c r="BF25" i="104"/>
  <c r="BJ25" i="104" s="1"/>
  <c r="AG75" i="104"/>
  <c r="AE76" i="104" s="1"/>
  <c r="BF17" i="104"/>
  <c r="BJ17" i="104" s="1"/>
  <c r="AX17" i="104"/>
  <c r="BB17" i="104" s="1"/>
  <c r="AV5" i="104"/>
  <c r="AZ5" i="104" s="1"/>
  <c r="BD5" i="104"/>
  <c r="BH5" i="104" s="1"/>
  <c r="BF21" i="104"/>
  <c r="BJ21" i="104" s="1"/>
  <c r="AX21" i="104"/>
  <c r="BB21" i="104" s="1"/>
  <c r="CL25" i="102"/>
  <c r="CJ26" i="102" s="1"/>
  <c r="BD17" i="102"/>
  <c r="BH17" i="102" s="1"/>
  <c r="AV17" i="102"/>
  <c r="AZ17" i="102" s="1"/>
  <c r="AG75" i="102"/>
  <c r="AE76" i="102" s="1"/>
  <c r="AX23" i="102"/>
  <c r="BB23" i="102" s="1"/>
  <c r="BF23" i="102"/>
  <c r="BJ23" i="102" s="1"/>
  <c r="BD12" i="102"/>
  <c r="BH12" i="102" s="1"/>
  <c r="AV12" i="102"/>
  <c r="AZ12" i="102" s="1"/>
  <c r="AX12" i="102"/>
  <c r="BB12" i="102" s="1"/>
  <c r="BF12" i="102"/>
  <c r="BJ12" i="102" s="1"/>
  <c r="BD25" i="102"/>
  <c r="BH25" i="102" s="1"/>
  <c r="AV25" i="102"/>
  <c r="AZ25" i="102" s="1"/>
  <c r="AX10" i="102"/>
  <c r="BB10" i="102" s="1"/>
  <c r="BF10" i="102"/>
  <c r="BJ10" i="102" s="1"/>
  <c r="BF21" i="102"/>
  <c r="BJ21" i="102" s="1"/>
  <c r="AX21" i="102"/>
  <c r="BB21" i="102" s="1"/>
  <c r="BF25" i="102"/>
  <c r="BJ25" i="102" s="1"/>
  <c r="AX25" i="102"/>
  <c r="BB25" i="102" s="1"/>
  <c r="BD21" i="102"/>
  <c r="BH21" i="102" s="1"/>
  <c r="AV21" i="102"/>
  <c r="AZ21" i="102" s="1"/>
  <c r="C40" i="102"/>
  <c r="BD14" i="102"/>
  <c r="BH14" i="102" s="1"/>
  <c r="AV14" i="102"/>
  <c r="AZ14" i="102" s="1"/>
  <c r="BD23" i="102"/>
  <c r="BH23" i="102" s="1"/>
  <c r="AV23" i="102"/>
  <c r="AZ23" i="102" s="1"/>
  <c r="BD12" i="101"/>
  <c r="BH12" i="101" s="1"/>
  <c r="AV12" i="101"/>
  <c r="AZ12" i="101" s="1"/>
  <c r="AV23" i="101"/>
  <c r="AZ23" i="101" s="1"/>
  <c r="BD23" i="101"/>
  <c r="BH23" i="101" s="1"/>
  <c r="AG76" i="101"/>
  <c r="AE77" i="101" s="1"/>
  <c r="BF21" i="101"/>
  <c r="BJ21" i="101" s="1"/>
  <c r="AX21" i="101"/>
  <c r="BB21" i="101" s="1"/>
  <c r="BF14" i="101"/>
  <c r="BJ14" i="101" s="1"/>
  <c r="AX14" i="101"/>
  <c r="BB14" i="101" s="1"/>
  <c r="BD17" i="101"/>
  <c r="BH17" i="101" s="1"/>
  <c r="AV17" i="101"/>
  <c r="AZ17" i="101" s="1"/>
  <c r="BD27" i="101"/>
  <c r="BH27" i="101" s="1"/>
  <c r="AV27" i="101"/>
  <c r="AZ27" i="101" s="1"/>
  <c r="BD14" i="101"/>
  <c r="BH14" i="101" s="1"/>
  <c r="AV14" i="101"/>
  <c r="AZ14" i="101" s="1"/>
  <c r="C40" i="101"/>
  <c r="BD5" i="101"/>
  <c r="BH5" i="101" s="1"/>
  <c r="AV5" i="101"/>
  <c r="AZ5" i="101" s="1"/>
  <c r="BF23" i="101"/>
  <c r="BJ23" i="101" s="1"/>
  <c r="AX23" i="101"/>
  <c r="BB23" i="101" s="1"/>
  <c r="AX5" i="101"/>
  <c r="BB5" i="101" s="1"/>
  <c r="BF5" i="101"/>
  <c r="BJ5" i="101" s="1"/>
  <c r="BF10" i="101"/>
  <c r="BJ10" i="101" s="1"/>
  <c r="AX10" i="101"/>
  <c r="BB10" i="101" s="1"/>
  <c r="CL25" i="101"/>
  <c r="CJ26" i="101" s="1"/>
  <c r="BF25" i="101"/>
  <c r="BJ25" i="101" s="1"/>
  <c r="AX25" i="101"/>
  <c r="BB25" i="101" s="1"/>
  <c r="AV25" i="101"/>
  <c r="AZ25" i="101" s="1"/>
  <c r="BD25" i="101"/>
  <c r="BH25" i="101" s="1"/>
  <c r="CL25" i="100"/>
  <c r="CJ26" i="100"/>
  <c r="C39" i="100"/>
  <c r="BD21" i="100"/>
  <c r="BH21" i="100" s="1"/>
  <c r="AV21" i="100"/>
  <c r="AZ21" i="100" s="1"/>
  <c r="BD5" i="100"/>
  <c r="BH5" i="100" s="1"/>
  <c r="AV5" i="100"/>
  <c r="AZ5" i="100" s="1"/>
  <c r="BF17" i="100"/>
  <c r="BJ17" i="100" s="1"/>
  <c r="AX17" i="100"/>
  <c r="BB17" i="100" s="1"/>
  <c r="BD17" i="100"/>
  <c r="BH17" i="100" s="1"/>
  <c r="AV17" i="100"/>
  <c r="AZ17" i="100" s="1"/>
  <c r="BD14" i="100"/>
  <c r="BH14" i="100" s="1"/>
  <c r="AV14" i="100"/>
  <c r="AZ14" i="100" s="1"/>
  <c r="BF10" i="100"/>
  <c r="BJ10" i="100" s="1"/>
  <c r="AX10" i="100"/>
  <c r="BB10" i="100" s="1"/>
  <c r="AG75" i="100"/>
  <c r="AE76" i="100" s="1"/>
  <c r="BF21" i="100"/>
  <c r="BJ21" i="100" s="1"/>
  <c r="AX21" i="100"/>
  <c r="BB21" i="100" s="1"/>
  <c r="BF14" i="100"/>
  <c r="BJ14" i="100" s="1"/>
  <c r="AX14" i="100"/>
  <c r="BB14" i="100" s="1"/>
  <c r="AV27" i="100"/>
  <c r="AZ27" i="100" s="1"/>
  <c r="BD27" i="100"/>
  <c r="BH27" i="100" s="1"/>
  <c r="AX25" i="100"/>
  <c r="BB25" i="100" s="1"/>
  <c r="BF25" i="100"/>
  <c r="BJ25" i="100" s="1"/>
  <c r="BD12" i="100"/>
  <c r="BH12" i="100" s="1"/>
  <c r="AV12" i="100"/>
  <c r="AZ12" i="100" s="1"/>
  <c r="AV23" i="100"/>
  <c r="AZ23" i="100" s="1"/>
  <c r="BD23" i="100"/>
  <c r="BH23" i="100" s="1"/>
  <c r="BD25" i="100"/>
  <c r="BH25" i="100" s="1"/>
  <c r="AV25" i="100"/>
  <c r="AZ25" i="100" s="1"/>
  <c r="AX5" i="100"/>
  <c r="BB5" i="100" s="1"/>
  <c r="BF5" i="100"/>
  <c r="BJ5" i="100" s="1"/>
  <c r="AV25" i="98"/>
  <c r="AZ25" i="98" s="1"/>
  <c r="BD25" i="98"/>
  <c r="BH25" i="98" s="1"/>
  <c r="AV23" i="98"/>
  <c r="AZ23" i="98" s="1"/>
  <c r="BD23" i="98"/>
  <c r="BH23" i="98" s="1"/>
  <c r="BD21" i="98"/>
  <c r="BH21" i="98" s="1"/>
  <c r="AV21" i="98"/>
  <c r="AZ21" i="98" s="1"/>
  <c r="AV5" i="98"/>
  <c r="AZ5" i="98" s="1"/>
  <c r="BD5" i="98"/>
  <c r="BH5" i="98" s="1"/>
  <c r="AV14" i="98"/>
  <c r="AZ14" i="98" s="1"/>
  <c r="BD14" i="98"/>
  <c r="BH14" i="98" s="1"/>
  <c r="BD12" i="98"/>
  <c r="BH12" i="98" s="1"/>
  <c r="AV12" i="98"/>
  <c r="AZ12" i="98" s="1"/>
  <c r="AG77" i="98"/>
  <c r="AE78" i="98" s="1"/>
  <c r="CL25" i="98"/>
  <c r="CJ26" i="98" s="1"/>
  <c r="C40" i="98"/>
  <c r="C41" i="97"/>
  <c r="AG76" i="97"/>
  <c r="AE77" i="97" s="1"/>
  <c r="BV25" i="97"/>
  <c r="BT26" i="97"/>
  <c r="C40" i="96"/>
  <c r="BV25" i="96"/>
  <c r="BT26" i="96" s="1"/>
  <c r="AG76" i="95"/>
  <c r="AE77" i="95" s="1"/>
  <c r="BN26" i="95"/>
  <c r="BL27" i="95" s="1"/>
  <c r="C40" i="95"/>
  <c r="AG75" i="93"/>
  <c r="AE76" i="93" s="1"/>
  <c r="AG76" i="93" s="1"/>
  <c r="AE77" i="93" s="1"/>
  <c r="AG74" i="89"/>
  <c r="AE75" i="89" s="1"/>
  <c r="AG75" i="89" s="1"/>
  <c r="C39" i="94"/>
  <c r="BN25" i="94"/>
  <c r="BL26" i="94" s="1"/>
  <c r="AG75" i="94"/>
  <c r="AE76" i="94" s="1"/>
  <c r="BF25" i="93"/>
  <c r="BD26" i="93" s="1"/>
  <c r="C41" i="93"/>
  <c r="BF25" i="92"/>
  <c r="BD26" i="92" s="1"/>
  <c r="AG75" i="92"/>
  <c r="AE76" i="92" s="1"/>
  <c r="C41" i="92"/>
  <c r="D23" i="89"/>
  <c r="C38" i="89"/>
  <c r="BI85" i="88"/>
  <c r="G74" i="88"/>
  <c r="F74" i="88"/>
  <c r="D74" i="88"/>
  <c r="AF24" i="88"/>
  <c r="AF26" i="88" s="1"/>
  <c r="AF28" i="88" s="1"/>
  <c r="AF30" i="88" s="1"/>
  <c r="AF32" i="88" s="1"/>
  <c r="AF34" i="88" s="1"/>
  <c r="BL12" i="88"/>
  <c r="BL14" i="88" s="1"/>
  <c r="BL16" i="88" s="1"/>
  <c r="BL18" i="88" s="1"/>
  <c r="BL20" i="88" s="1"/>
  <c r="BL22" i="88" s="1"/>
  <c r="BL24" i="88" s="1"/>
  <c r="BL26" i="88" s="1"/>
  <c r="BL28" i="88" s="1"/>
  <c r="BL30" i="88" s="1"/>
  <c r="BL32" i="88" s="1"/>
  <c r="BL34" i="88" s="1"/>
  <c r="BL36" i="88" s="1"/>
  <c r="BL38" i="88" s="1"/>
  <c r="BL40" i="88" s="1"/>
  <c r="BL42" i="88" s="1"/>
  <c r="BL44" i="88" s="1"/>
  <c r="BL46" i="88" s="1"/>
  <c r="BL48" i="88" s="1"/>
  <c r="BL50" i="88" s="1"/>
  <c r="BL52" i="88" s="1"/>
  <c r="BL54" i="88" s="1"/>
  <c r="BL56" i="88" s="1"/>
  <c r="BL58" i="88" s="1"/>
  <c r="BL60" i="88" s="1"/>
  <c r="BL62" i="88" s="1"/>
  <c r="BL64" i="88" s="1"/>
  <c r="BL66" i="88" s="1"/>
  <c r="BE12" i="88"/>
  <c r="BE14" i="88" s="1"/>
  <c r="BE16" i="88" s="1"/>
  <c r="BE18" i="88" s="1"/>
  <c r="BE20" i="88" s="1"/>
  <c r="BE22" i="88" s="1"/>
  <c r="BE24" i="88" s="1"/>
  <c r="BE26" i="88" s="1"/>
  <c r="BE28" i="88" s="1"/>
  <c r="BE30" i="88" s="1"/>
  <c r="BE32" i="88" s="1"/>
  <c r="BE34" i="88" s="1"/>
  <c r="BE36" i="88" s="1"/>
  <c r="BE38" i="88" s="1"/>
  <c r="BE40" i="88" s="1"/>
  <c r="BE42" i="88" s="1"/>
  <c r="BE44" i="88" s="1"/>
  <c r="BE46" i="88" s="1"/>
  <c r="BE48" i="88" s="1"/>
  <c r="BE50" i="88" s="1"/>
  <c r="BE52" i="88" s="1"/>
  <c r="BE54" i="88" s="1"/>
  <c r="BE56" i="88" s="1"/>
  <c r="BE58" i="88" s="1"/>
  <c r="P12" i="88"/>
  <c r="P14" i="88" s="1"/>
  <c r="P16" i="88" s="1"/>
  <c r="P18" i="88" s="1"/>
  <c r="O12" i="88"/>
  <c r="O14" i="88" s="1"/>
  <c r="O16" i="88" s="1"/>
  <c r="N12" i="88"/>
  <c r="N14" i="88" s="1"/>
  <c r="N16" i="88" s="1"/>
  <c r="BS10" i="88"/>
  <c r="BS12" i="88" s="1"/>
  <c r="BS14" i="88" s="1"/>
  <c r="BS16" i="88" s="1"/>
  <c r="BS18" i="88" s="1"/>
  <c r="BS20" i="88" s="1"/>
  <c r="BS22" i="88" s="1"/>
  <c r="BS24" i="88" s="1"/>
  <c r="BS26" i="88" s="1"/>
  <c r="BS28" i="88" s="1"/>
  <c r="BS30" i="88" s="1"/>
  <c r="BS32" i="88" s="1"/>
  <c r="BS34" i="88" s="1"/>
  <c r="BS36" i="88" s="1"/>
  <c r="BS38" i="88" s="1"/>
  <c r="BS40" i="88" s="1"/>
  <c r="BS42" i="88" s="1"/>
  <c r="BS44" i="88" s="1"/>
  <c r="BS46" i="88" s="1"/>
  <c r="BS48" i="88" s="1"/>
  <c r="BS50" i="88" s="1"/>
  <c r="BS52" i="88" s="1"/>
  <c r="BS54" i="88" s="1"/>
  <c r="BS56" i="88" s="1"/>
  <c r="BS58" i="88" s="1"/>
  <c r="BS60" i="88" s="1"/>
  <c r="BS62" i="88" s="1"/>
  <c r="BS64" i="88" s="1"/>
  <c r="BS66" i="88" s="1"/>
  <c r="BS68" i="88" s="1"/>
  <c r="BO10" i="88"/>
  <c r="BN10" i="88"/>
  <c r="BM10" i="88"/>
  <c r="BL10" i="88"/>
  <c r="BK10" i="88"/>
  <c r="BK12" i="88" s="1"/>
  <c r="BK14" i="88" s="1"/>
  <c r="BK16" i="88" s="1"/>
  <c r="BK18" i="88" s="1"/>
  <c r="BK20" i="88" s="1"/>
  <c r="BK22" i="88" s="1"/>
  <c r="BK24" i="88" s="1"/>
  <c r="BK26" i="88" s="1"/>
  <c r="BK28" i="88" s="1"/>
  <c r="BK30" i="88" s="1"/>
  <c r="BK32" i="88" s="1"/>
  <c r="BK34" i="88" s="1"/>
  <c r="BK36" i="88" s="1"/>
  <c r="BK38" i="88" s="1"/>
  <c r="BK40" i="88" s="1"/>
  <c r="BK42" i="88" s="1"/>
  <c r="BK44" i="88" s="1"/>
  <c r="BK46" i="88" s="1"/>
  <c r="BK48" i="88" s="1"/>
  <c r="BK50" i="88" s="1"/>
  <c r="BK52" i="88" s="1"/>
  <c r="BK54" i="88" s="1"/>
  <c r="BK56" i="88" s="1"/>
  <c r="BK58" i="88" s="1"/>
  <c r="BK60" i="88" s="1"/>
  <c r="BK62" i="88" s="1"/>
  <c r="BK64" i="88" s="1"/>
  <c r="BJ10" i="88"/>
  <c r="BJ12" i="88" s="1"/>
  <c r="BJ14" i="88" s="1"/>
  <c r="BJ16" i="88" s="1"/>
  <c r="BJ18" i="88" s="1"/>
  <c r="BJ20" i="88" s="1"/>
  <c r="BJ22" i="88" s="1"/>
  <c r="BJ24" i="88" s="1"/>
  <c r="BJ26" i="88" s="1"/>
  <c r="BJ28" i="88" s="1"/>
  <c r="BJ30" i="88" s="1"/>
  <c r="BJ32" i="88" s="1"/>
  <c r="BJ34" i="88" s="1"/>
  <c r="BJ36" i="88" s="1"/>
  <c r="BJ38" i="88" s="1"/>
  <c r="BJ40" i="88" s="1"/>
  <c r="BJ42" i="88" s="1"/>
  <c r="BJ44" i="88" s="1"/>
  <c r="BJ46" i="88" s="1"/>
  <c r="BJ48" i="88" s="1"/>
  <c r="BJ50" i="88" s="1"/>
  <c r="BJ52" i="88" s="1"/>
  <c r="BJ54" i="88" s="1"/>
  <c r="BJ56" i="88" s="1"/>
  <c r="BJ58" i="88" s="1"/>
  <c r="BJ60" i="88" s="1"/>
  <c r="BJ62" i="88" s="1"/>
  <c r="BJ64" i="88" s="1"/>
  <c r="BI10" i="88"/>
  <c r="BH10" i="88"/>
  <c r="BG10" i="88"/>
  <c r="BF10" i="88"/>
  <c r="BE10" i="88"/>
  <c r="BD10" i="88"/>
  <c r="BD12" i="88" s="1"/>
  <c r="BD14" i="88" s="1"/>
  <c r="BD16" i="88" s="1"/>
  <c r="BD18" i="88" s="1"/>
  <c r="BD20" i="88" s="1"/>
  <c r="BD22" i="88" s="1"/>
  <c r="BD24" i="88" s="1"/>
  <c r="BD26" i="88" s="1"/>
  <c r="BD28" i="88" s="1"/>
  <c r="BD30" i="88" s="1"/>
  <c r="BD32" i="88" s="1"/>
  <c r="BD34" i="88" s="1"/>
  <c r="BD36" i="88" s="1"/>
  <c r="BD38" i="88" s="1"/>
  <c r="BD40" i="88" s="1"/>
  <c r="BD42" i="88" s="1"/>
  <c r="BD44" i="88" s="1"/>
  <c r="BD46" i="88" s="1"/>
  <c r="BD48" i="88" s="1"/>
  <c r="BD50" i="88" s="1"/>
  <c r="BD52" i="88" s="1"/>
  <c r="BD54" i="88" s="1"/>
  <c r="BD56" i="88" s="1"/>
  <c r="BD58" i="88" s="1"/>
  <c r="BC10" i="88"/>
  <c r="BB10" i="88"/>
  <c r="BB12" i="88" s="1"/>
  <c r="BB14" i="88" s="1"/>
  <c r="BB16" i="88" s="1"/>
  <c r="BB18" i="88" s="1"/>
  <c r="BB20" i="88" s="1"/>
  <c r="BB22" i="88" s="1"/>
  <c r="BB24" i="88" s="1"/>
  <c r="BB26" i="88" s="1"/>
  <c r="BB28" i="88" s="1"/>
  <c r="BB30" i="88" s="1"/>
  <c r="BB32" i="88" s="1"/>
  <c r="BB34" i="88" s="1"/>
  <c r="BB36" i="88" s="1"/>
  <c r="BB38" i="88" s="1"/>
  <c r="BB40" i="88" s="1"/>
  <c r="BB42" i="88" s="1"/>
  <c r="BB44" i="88" s="1"/>
  <c r="BB46" i="88" s="1"/>
  <c r="BB48" i="88" s="1"/>
  <c r="BB50" i="88" s="1"/>
  <c r="BB52" i="88" s="1"/>
  <c r="BB54" i="88" s="1"/>
  <c r="BB56" i="88" s="1"/>
  <c r="BA10" i="88"/>
  <c r="AZ10" i="88"/>
  <c r="AZ12" i="88" s="1"/>
  <c r="AY10" i="88"/>
  <c r="AX10" i="88"/>
  <c r="AW10" i="88"/>
  <c r="AV10" i="88"/>
  <c r="AV12" i="88" s="1"/>
  <c r="AV14" i="88" s="1"/>
  <c r="AV16" i="88" s="1"/>
  <c r="AV18" i="88" s="1"/>
  <c r="AV20" i="88" s="1"/>
  <c r="AV22" i="88" s="1"/>
  <c r="AV24" i="88" s="1"/>
  <c r="AV26" i="88" s="1"/>
  <c r="AV28" i="88" s="1"/>
  <c r="AV30" i="88" s="1"/>
  <c r="AV32" i="88" s="1"/>
  <c r="AV34" i="88" s="1"/>
  <c r="AV36" i="88" s="1"/>
  <c r="AV38" i="88" s="1"/>
  <c r="AV40" i="88" s="1"/>
  <c r="AV42" i="88" s="1"/>
  <c r="AV44" i="88" s="1"/>
  <c r="AV46" i="88" s="1"/>
  <c r="AV48" i="88" s="1"/>
  <c r="AV50" i="88" s="1"/>
  <c r="AU10" i="88"/>
  <c r="AU12" i="88" s="1"/>
  <c r="AU14" i="88" s="1"/>
  <c r="AU16" i="88" s="1"/>
  <c r="AU18" i="88" s="1"/>
  <c r="AU20" i="88" s="1"/>
  <c r="AU22" i="88" s="1"/>
  <c r="AU24" i="88" s="1"/>
  <c r="AU26" i="88" s="1"/>
  <c r="AU28" i="88" s="1"/>
  <c r="AU30" i="88" s="1"/>
  <c r="AU32" i="88" s="1"/>
  <c r="AU34" i="88" s="1"/>
  <c r="AU36" i="88" s="1"/>
  <c r="AU38" i="88" s="1"/>
  <c r="AU40" i="88" s="1"/>
  <c r="AU42" i="88" s="1"/>
  <c r="AU44" i="88" s="1"/>
  <c r="AU46" i="88" s="1"/>
  <c r="AU48" i="88" s="1"/>
  <c r="AT10" i="88"/>
  <c r="AT12" i="88" s="1"/>
  <c r="AT14" i="88" s="1"/>
  <c r="AT16" i="88" s="1"/>
  <c r="AT18" i="88" s="1"/>
  <c r="AT20" i="88" s="1"/>
  <c r="AT22" i="88" s="1"/>
  <c r="AT24" i="88" s="1"/>
  <c r="AT26" i="88" s="1"/>
  <c r="AT28" i="88" s="1"/>
  <c r="AT30" i="88" s="1"/>
  <c r="AT32" i="88" s="1"/>
  <c r="AT34" i="88" s="1"/>
  <c r="AT36" i="88" s="1"/>
  <c r="AT38" i="88" s="1"/>
  <c r="AT40" i="88" s="1"/>
  <c r="AT42" i="88" s="1"/>
  <c r="AT44" i="88" s="1"/>
  <c r="AT46" i="88" s="1"/>
  <c r="AT48" i="88" s="1"/>
  <c r="AS10" i="88"/>
  <c r="AR10" i="88"/>
  <c r="AR12" i="88" s="1"/>
  <c r="AR14" i="88" s="1"/>
  <c r="AR16" i="88" s="1"/>
  <c r="AR18" i="88" s="1"/>
  <c r="AR20" i="88" s="1"/>
  <c r="AR22" i="88" s="1"/>
  <c r="AR24" i="88" s="1"/>
  <c r="AR26" i="88" s="1"/>
  <c r="AR28" i="88" s="1"/>
  <c r="AR30" i="88" s="1"/>
  <c r="AR32" i="88" s="1"/>
  <c r="AR34" i="88" s="1"/>
  <c r="AR36" i="88" s="1"/>
  <c r="AR38" i="88" s="1"/>
  <c r="AR40" i="88" s="1"/>
  <c r="AR42" i="88" s="1"/>
  <c r="AR44" i="88" s="1"/>
  <c r="AR46" i="88" s="1"/>
  <c r="AQ10" i="88"/>
  <c r="AP10" i="88"/>
  <c r="AO10" i="88"/>
  <c r="AN10" i="88"/>
  <c r="AN12" i="88" s="1"/>
  <c r="AN14" i="88" s="1"/>
  <c r="AN16" i="88" s="1"/>
  <c r="AN18" i="88" s="1"/>
  <c r="AN20" i="88" s="1"/>
  <c r="AN22" i="88" s="1"/>
  <c r="AN24" i="88" s="1"/>
  <c r="AN26" i="88" s="1"/>
  <c r="AN28" i="88" s="1"/>
  <c r="AN30" i="88" s="1"/>
  <c r="AN32" i="88" s="1"/>
  <c r="AN34" i="88" s="1"/>
  <c r="AN36" i="88" s="1"/>
  <c r="AN38" i="88" s="1"/>
  <c r="AN40" i="88" s="1"/>
  <c r="AN42" i="88" s="1"/>
  <c r="AM10" i="88"/>
  <c r="AM12" i="88" s="1"/>
  <c r="AM14" i="88" s="1"/>
  <c r="AM16" i="88" s="1"/>
  <c r="AM18" i="88" s="1"/>
  <c r="AM20" i="88" s="1"/>
  <c r="AM22" i="88" s="1"/>
  <c r="AM24" i="88" s="1"/>
  <c r="AM26" i="88" s="1"/>
  <c r="AM28" i="88" s="1"/>
  <c r="AM30" i="88" s="1"/>
  <c r="AM32" i="88" s="1"/>
  <c r="AM34" i="88" s="1"/>
  <c r="AM36" i="88" s="1"/>
  <c r="AM38" i="88" s="1"/>
  <c r="AM40" i="88" s="1"/>
  <c r="AL10" i="88"/>
  <c r="AL12" i="88" s="1"/>
  <c r="AL14" i="88" s="1"/>
  <c r="AL16" i="88" s="1"/>
  <c r="AL18" i="88" s="1"/>
  <c r="AL20" i="88" s="1"/>
  <c r="AL22" i="88" s="1"/>
  <c r="AL24" i="88" s="1"/>
  <c r="AL26" i="88" s="1"/>
  <c r="AL28" i="88" s="1"/>
  <c r="AL30" i="88" s="1"/>
  <c r="AL32" i="88" s="1"/>
  <c r="AL34" i="88" s="1"/>
  <c r="AL36" i="88" s="1"/>
  <c r="AL38" i="88" s="1"/>
  <c r="AL40" i="88" s="1"/>
  <c r="AK10" i="88"/>
  <c r="AJ10" i="88"/>
  <c r="AJ12" i="88" s="1"/>
  <c r="AJ14" i="88" s="1"/>
  <c r="AJ16" i="88" s="1"/>
  <c r="AJ18" i="88" s="1"/>
  <c r="AJ20" i="88" s="1"/>
  <c r="AJ22" i="88" s="1"/>
  <c r="AJ24" i="88" s="1"/>
  <c r="AJ26" i="88" s="1"/>
  <c r="AJ28" i="88" s="1"/>
  <c r="AJ30" i="88" s="1"/>
  <c r="AJ32" i="88" s="1"/>
  <c r="AJ34" i="88" s="1"/>
  <c r="AJ36" i="88" s="1"/>
  <c r="AJ38" i="88" s="1"/>
  <c r="AI10" i="88"/>
  <c r="AH10" i="88"/>
  <c r="AH12" i="88" s="1"/>
  <c r="AH14" i="88" s="1"/>
  <c r="AH16" i="88" s="1"/>
  <c r="AH18" i="88" s="1"/>
  <c r="AH20" i="88" s="1"/>
  <c r="AH22" i="88" s="1"/>
  <c r="AH24" i="88" s="1"/>
  <c r="AH26" i="88" s="1"/>
  <c r="AH28" i="88" s="1"/>
  <c r="AH30" i="88" s="1"/>
  <c r="AH32" i="88" s="1"/>
  <c r="AH34" i="88" s="1"/>
  <c r="AH36" i="88" s="1"/>
  <c r="AG10" i="88"/>
  <c r="AF10" i="88"/>
  <c r="AF12" i="88" s="1"/>
  <c r="AF14" i="88" s="1"/>
  <c r="AF16" i="88" s="1"/>
  <c r="AF18" i="88" s="1"/>
  <c r="AF20" i="88" s="1"/>
  <c r="AF22" i="88" s="1"/>
  <c r="AE10" i="88"/>
  <c r="AE12" i="88" s="1"/>
  <c r="AE14" i="88" s="1"/>
  <c r="AE16" i="88" s="1"/>
  <c r="AE18" i="88" s="1"/>
  <c r="AE20" i="88" s="1"/>
  <c r="AE22" i="88" s="1"/>
  <c r="AE24" i="88" s="1"/>
  <c r="AE26" i="88" s="1"/>
  <c r="AE28" i="88" s="1"/>
  <c r="AE30" i="88" s="1"/>
  <c r="AE32" i="88" s="1"/>
  <c r="AD10" i="88"/>
  <c r="AD12" i="88" s="1"/>
  <c r="AD14" i="88" s="1"/>
  <c r="AD16" i="88" s="1"/>
  <c r="AD18" i="88" s="1"/>
  <c r="AD20" i="88" s="1"/>
  <c r="AD22" i="88" s="1"/>
  <c r="AD24" i="88" s="1"/>
  <c r="AD26" i="88" s="1"/>
  <c r="AD28" i="88" s="1"/>
  <c r="AD30" i="88" s="1"/>
  <c r="AD32" i="88" s="1"/>
  <c r="AC10" i="88"/>
  <c r="AB10" i="88"/>
  <c r="AA10" i="88"/>
  <c r="Z10" i="88"/>
  <c r="Y10" i="88"/>
  <c r="Y12" i="88" s="1"/>
  <c r="Y14" i="88" s="1"/>
  <c r="Y16" i="88" s="1"/>
  <c r="Y18" i="88" s="1"/>
  <c r="Y20" i="88" s="1"/>
  <c r="Y22" i="88" s="1"/>
  <c r="Y24" i="88" s="1"/>
  <c r="Y26" i="88" s="1"/>
  <c r="X10" i="88"/>
  <c r="X12" i="88" s="1"/>
  <c r="X14" i="88" s="1"/>
  <c r="X16" i="88" s="1"/>
  <c r="X18" i="88" s="1"/>
  <c r="X20" i="88" s="1"/>
  <c r="X22" i="88" s="1"/>
  <c r="X24" i="88" s="1"/>
  <c r="X26" i="88" s="1"/>
  <c r="W10" i="88"/>
  <c r="W12" i="88" s="1"/>
  <c r="W14" i="88" s="1"/>
  <c r="W16" i="88" s="1"/>
  <c r="W18" i="88" s="1"/>
  <c r="W20" i="88" s="1"/>
  <c r="W22" i="88" s="1"/>
  <c r="W24" i="88" s="1"/>
  <c r="V10" i="88"/>
  <c r="V12" i="88" s="1"/>
  <c r="V14" i="88" s="1"/>
  <c r="V16" i="88" s="1"/>
  <c r="V18" i="88" s="1"/>
  <c r="V20" i="88" s="1"/>
  <c r="V22" i="88" s="1"/>
  <c r="V24" i="88" s="1"/>
  <c r="U10" i="88"/>
  <c r="T10" i="88"/>
  <c r="S10" i="88"/>
  <c r="R10" i="88"/>
  <c r="Q10" i="88"/>
  <c r="P10" i="88"/>
  <c r="O10" i="88"/>
  <c r="N10" i="88"/>
  <c r="M10" i="88"/>
  <c r="M12" i="88" s="1"/>
  <c r="M14" i="88" s="1"/>
  <c r="L10" i="88"/>
  <c r="K10" i="88"/>
  <c r="J10" i="88"/>
  <c r="I10" i="88"/>
  <c r="H10" i="88"/>
  <c r="H74" i="88" s="1"/>
  <c r="BY8" i="88"/>
  <c r="BY9" i="88" s="1"/>
  <c r="BY10" i="88" s="1"/>
  <c r="BY11" i="88" s="1"/>
  <c r="BY12" i="88" s="1"/>
  <c r="BY13" i="88" s="1"/>
  <c r="BY14" i="88" s="1"/>
  <c r="BY15" i="88" s="1"/>
  <c r="BY16" i="88" s="1"/>
  <c r="BY17" i="88" s="1"/>
  <c r="BY18" i="88" s="1"/>
  <c r="BY19" i="88" s="1"/>
  <c r="BY20" i="88" s="1"/>
  <c r="BY21" i="88" s="1"/>
  <c r="BY22" i="88" s="1"/>
  <c r="BY23" i="88" s="1"/>
  <c r="BY24" i="88" s="1"/>
  <c r="BY25" i="88" s="1"/>
  <c r="BY26" i="88" s="1"/>
  <c r="BY27" i="88" s="1"/>
  <c r="BY28" i="88" s="1"/>
  <c r="BY29" i="88" s="1"/>
  <c r="BY30" i="88" s="1"/>
  <c r="BY31" i="88" s="1"/>
  <c r="BY32" i="88" s="1"/>
  <c r="BY33" i="88" s="1"/>
  <c r="BY34" i="88" s="1"/>
  <c r="BY35" i="88" s="1"/>
  <c r="BY36" i="88" s="1"/>
  <c r="BY37" i="88" s="1"/>
  <c r="BY38" i="88" s="1"/>
  <c r="BY39" i="88" s="1"/>
  <c r="BY40" i="88" s="1"/>
  <c r="BY41" i="88" s="1"/>
  <c r="BY42" i="88" s="1"/>
  <c r="BY43" i="88" s="1"/>
  <c r="BY44" i="88" s="1"/>
  <c r="BY45" i="88" s="1"/>
  <c r="BY46" i="88" s="1"/>
  <c r="BY47" i="88" s="1"/>
  <c r="BY48" i="88" s="1"/>
  <c r="BY49" i="88" s="1"/>
  <c r="BY50" i="88" s="1"/>
  <c r="BY51" i="88" s="1"/>
  <c r="BY52" i="88" s="1"/>
  <c r="BY53" i="88" s="1"/>
  <c r="BY54" i="88" s="1"/>
  <c r="BY55" i="88" s="1"/>
  <c r="BY56" i="88" s="1"/>
  <c r="BY57" i="88" s="1"/>
  <c r="BY58" i="88" s="1"/>
  <c r="BY59" i="88" s="1"/>
  <c r="BY60" i="88" s="1"/>
  <c r="BY61" i="88" s="1"/>
  <c r="BY62" i="88" s="1"/>
  <c r="BY63" i="88" s="1"/>
  <c r="BY64" i="88" s="1"/>
  <c r="BY65" i="88" s="1"/>
  <c r="BY66" i="88" s="1"/>
  <c r="BY67" i="88" s="1"/>
  <c r="BY68" i="88" s="1"/>
  <c r="BY69" i="88" s="1"/>
  <c r="BY70" i="88" s="1"/>
  <c r="BP8" i="88"/>
  <c r="CA7" i="88"/>
  <c r="CA8" i="88" s="1"/>
  <c r="CA9" i="88" s="1"/>
  <c r="CA10" i="88" s="1"/>
  <c r="CA11" i="88" s="1"/>
  <c r="CA12" i="88" s="1"/>
  <c r="CA13" i="88" s="1"/>
  <c r="CA14" i="88" s="1"/>
  <c r="CA15" i="88" s="1"/>
  <c r="CA16" i="88" s="1"/>
  <c r="CA17" i="88" s="1"/>
  <c r="CA18" i="88" s="1"/>
  <c r="CA19" i="88" s="1"/>
  <c r="CA20" i="88" s="1"/>
  <c r="CA21" i="88" s="1"/>
  <c r="CA22" i="88" s="1"/>
  <c r="CA23" i="88" s="1"/>
  <c r="CA24" i="88" s="1"/>
  <c r="CA25" i="88" s="1"/>
  <c r="CA26" i="88" s="1"/>
  <c r="CA27" i="88" s="1"/>
  <c r="CA28" i="88" s="1"/>
  <c r="CA29" i="88" s="1"/>
  <c r="CA30" i="88" s="1"/>
  <c r="CA31" i="88" s="1"/>
  <c r="CA32" i="88" s="1"/>
  <c r="CA33" i="88" s="1"/>
  <c r="CA34" i="88" s="1"/>
  <c r="CA35" i="88" s="1"/>
  <c r="CA36" i="88" s="1"/>
  <c r="CA37" i="88" s="1"/>
  <c r="CA38" i="88" s="1"/>
  <c r="CA39" i="88" s="1"/>
  <c r="CA40" i="88" s="1"/>
  <c r="CA41" i="88" s="1"/>
  <c r="CA42" i="88" s="1"/>
  <c r="CA43" i="88" s="1"/>
  <c r="CA44" i="88" s="1"/>
  <c r="CA45" i="88" s="1"/>
  <c r="CA46" i="88" s="1"/>
  <c r="CA47" i="88" s="1"/>
  <c r="CA48" i="88" s="1"/>
  <c r="CA49" i="88" s="1"/>
  <c r="CA50" i="88" s="1"/>
  <c r="CA51" i="88" s="1"/>
  <c r="CA52" i="88" s="1"/>
  <c r="CA53" i="88" s="1"/>
  <c r="CA54" i="88" s="1"/>
  <c r="CA55" i="88" s="1"/>
  <c r="CA56" i="88" s="1"/>
  <c r="CA57" i="88" s="1"/>
  <c r="CA58" i="88" s="1"/>
  <c r="CA59" i="88" s="1"/>
  <c r="CA60" i="88" s="1"/>
  <c r="CA61" i="88" s="1"/>
  <c r="CA62" i="88" s="1"/>
  <c r="CA63" i="88" s="1"/>
  <c r="CA64" i="88" s="1"/>
  <c r="CA65" i="88" s="1"/>
  <c r="CA66" i="88" s="1"/>
  <c r="CA67" i="88" s="1"/>
  <c r="CA68" i="88" s="1"/>
  <c r="CA69" i="88" s="1"/>
  <c r="CA70" i="88" s="1"/>
  <c r="BZ7" i="88"/>
  <c r="BY7" i="88"/>
  <c r="CA5" i="88"/>
  <c r="CA6" i="88" s="1"/>
  <c r="CB6" i="88" s="1"/>
  <c r="E5" i="88"/>
  <c r="F5" i="88" s="1"/>
  <c r="G5" i="88" s="1"/>
  <c r="H5" i="88" s="1"/>
  <c r="I5" i="88" s="1"/>
  <c r="J5" i="88" s="1"/>
  <c r="K5" i="88" s="1"/>
  <c r="L5" i="88" s="1"/>
  <c r="M5" i="88" s="1"/>
  <c r="N5" i="88" s="1"/>
  <c r="O5" i="88" s="1"/>
  <c r="P5" i="88" s="1"/>
  <c r="Q5" i="88" s="1"/>
  <c r="R5" i="88" s="1"/>
  <c r="S5" i="88" s="1"/>
  <c r="T5" i="88" s="1"/>
  <c r="U5" i="88" s="1"/>
  <c r="V5" i="88" s="1"/>
  <c r="W5" i="88" s="1"/>
  <c r="X5" i="88" s="1"/>
  <c r="Y5" i="88" s="1"/>
  <c r="Z5" i="88" s="1"/>
  <c r="AA5" i="88" s="1"/>
  <c r="AB5" i="88" s="1"/>
  <c r="AC5" i="88" s="1"/>
  <c r="AD5" i="88" s="1"/>
  <c r="AE5" i="88" s="1"/>
  <c r="AF5" i="88" s="1"/>
  <c r="AG5" i="88" s="1"/>
  <c r="AH5" i="88" s="1"/>
  <c r="AI5" i="88" s="1"/>
  <c r="AJ5" i="88" s="1"/>
  <c r="AK5" i="88" s="1"/>
  <c r="AL5" i="88" s="1"/>
  <c r="AM5" i="88" s="1"/>
  <c r="AN5" i="88" s="1"/>
  <c r="AO5" i="88" s="1"/>
  <c r="AP5" i="88" s="1"/>
  <c r="AQ5" i="88" s="1"/>
  <c r="AR5" i="88" s="1"/>
  <c r="AS5" i="88" s="1"/>
  <c r="AT5" i="88" s="1"/>
  <c r="AU5" i="88" s="1"/>
  <c r="AV5" i="88" s="1"/>
  <c r="AW5" i="88" s="1"/>
  <c r="AX5" i="88" s="1"/>
  <c r="AY5" i="88" s="1"/>
  <c r="AZ5" i="88" s="1"/>
  <c r="BA5" i="88" s="1"/>
  <c r="BB5" i="88" s="1"/>
  <c r="BC5" i="88" s="1"/>
  <c r="BD5" i="88" s="1"/>
  <c r="BE5" i="88" s="1"/>
  <c r="BF5" i="88" s="1"/>
  <c r="BG5" i="88" s="1"/>
  <c r="BH5" i="88" s="1"/>
  <c r="BI5" i="88" s="1"/>
  <c r="BJ5" i="88" s="1"/>
  <c r="BK5" i="88" s="1"/>
  <c r="BL5" i="88" s="1"/>
  <c r="BM5" i="88" s="1"/>
  <c r="BN5" i="88" s="1"/>
  <c r="BO5" i="88" s="1"/>
  <c r="E4" i="88"/>
  <c r="F4" i="88" s="1"/>
  <c r="G4" i="88" s="1"/>
  <c r="H4" i="88" s="1"/>
  <c r="I4" i="88" s="1"/>
  <c r="J4" i="88" s="1"/>
  <c r="K4" i="88" s="1"/>
  <c r="L4" i="88" s="1"/>
  <c r="M4" i="88" s="1"/>
  <c r="N4" i="88" s="1"/>
  <c r="O4" i="88" s="1"/>
  <c r="P4" i="88" s="1"/>
  <c r="Q4" i="88" s="1"/>
  <c r="R4" i="88" s="1"/>
  <c r="S4" i="88" s="1"/>
  <c r="T4" i="88" s="1"/>
  <c r="U4" i="88" s="1"/>
  <c r="V4" i="88" s="1"/>
  <c r="W4" i="88" s="1"/>
  <c r="X4" i="88" s="1"/>
  <c r="Y4" i="88" s="1"/>
  <c r="Z4" i="88" s="1"/>
  <c r="AA4" i="88" s="1"/>
  <c r="AB4" i="88" s="1"/>
  <c r="AC4" i="88" s="1"/>
  <c r="AD4" i="88" s="1"/>
  <c r="AE4" i="88" s="1"/>
  <c r="AF4" i="88" s="1"/>
  <c r="AG4" i="88" s="1"/>
  <c r="AH4" i="88" s="1"/>
  <c r="AI4" i="88" s="1"/>
  <c r="AJ4" i="88" s="1"/>
  <c r="AK4" i="88" s="1"/>
  <c r="AL4" i="88" s="1"/>
  <c r="AM4" i="88" s="1"/>
  <c r="AN4" i="88" s="1"/>
  <c r="AO4" i="88" s="1"/>
  <c r="AP4" i="88" s="1"/>
  <c r="AQ4" i="88" s="1"/>
  <c r="AR4" i="88" s="1"/>
  <c r="AS4" i="88" s="1"/>
  <c r="AT4" i="88" s="1"/>
  <c r="AU4" i="88" s="1"/>
  <c r="AV4" i="88" s="1"/>
  <c r="AW4" i="88" s="1"/>
  <c r="AX4" i="88" s="1"/>
  <c r="AY4" i="88" s="1"/>
  <c r="AZ4" i="88" s="1"/>
  <c r="BA4" i="88" s="1"/>
  <c r="BB4" i="88" s="1"/>
  <c r="BC4" i="88" s="1"/>
  <c r="BD4" i="88" s="1"/>
  <c r="BE4" i="88" s="1"/>
  <c r="BF4" i="88" s="1"/>
  <c r="BG4" i="88" s="1"/>
  <c r="BH4" i="88" s="1"/>
  <c r="BI4" i="88" s="1"/>
  <c r="BJ4" i="88" s="1"/>
  <c r="BK4" i="88" s="1"/>
  <c r="BL4" i="88" s="1"/>
  <c r="BM4" i="88" s="1"/>
  <c r="BN4" i="88" s="1"/>
  <c r="BO4" i="88" s="1"/>
  <c r="BV2" i="88"/>
  <c r="D75" i="88" s="1"/>
  <c r="E75" i="88" s="1"/>
  <c r="BF44" i="117" l="1"/>
  <c r="BD45" i="117"/>
  <c r="AG95" i="117"/>
  <c r="AE96" i="117" s="1"/>
  <c r="BT43" i="117"/>
  <c r="BR44" i="117"/>
  <c r="J167" i="116"/>
  <c r="O164" i="116"/>
  <c r="S164" i="116" s="1"/>
  <c r="AC23" i="115"/>
  <c r="AC24" i="115"/>
  <c r="AE18" i="115"/>
  <c r="AD22" i="115"/>
  <c r="Z30" i="115"/>
  <c r="Z31" i="115" s="1"/>
  <c r="AW4" i="115"/>
  <c r="AW6" i="115" s="1"/>
  <c r="AA31" i="115"/>
  <c r="AA32" i="115" s="1"/>
  <c r="AB26" i="115"/>
  <c r="AB27" i="115" s="1"/>
  <c r="AG82" i="113"/>
  <c r="AQ47" i="113"/>
  <c r="AE83" i="113"/>
  <c r="AT47" i="113"/>
  <c r="AV47" i="113" s="1"/>
  <c r="BF31" i="113"/>
  <c r="BD32" i="113"/>
  <c r="AG81" i="112"/>
  <c r="AE82" i="112" s="1"/>
  <c r="DR31" i="112"/>
  <c r="DP32" i="112"/>
  <c r="DF47" i="112"/>
  <c r="DH47" i="112" s="1"/>
  <c r="CB17" i="105"/>
  <c r="CF17" i="105" s="1"/>
  <c r="CJ17" i="105"/>
  <c r="CN17" i="105" s="1"/>
  <c r="CL23" i="105"/>
  <c r="CP23" i="105" s="1"/>
  <c r="CD23" i="105"/>
  <c r="CH23" i="105" s="1"/>
  <c r="CD10" i="105"/>
  <c r="CH10" i="105" s="1"/>
  <c r="CL10" i="105"/>
  <c r="CP10" i="105" s="1"/>
  <c r="AG76" i="96"/>
  <c r="AE77" i="96" s="1"/>
  <c r="AG77" i="96" s="1"/>
  <c r="CJ5" i="105"/>
  <c r="CN5" i="105" s="1"/>
  <c r="CB5" i="105"/>
  <c r="CF5" i="105" s="1"/>
  <c r="CJ21" i="105"/>
  <c r="CN21" i="105" s="1"/>
  <c r="CB21" i="105"/>
  <c r="CF21" i="105" s="1"/>
  <c r="CL12" i="105"/>
  <c r="CP12" i="105" s="1"/>
  <c r="CD12" i="105"/>
  <c r="CH12" i="105" s="1"/>
  <c r="CJ27" i="105"/>
  <c r="CN27" i="105" s="1"/>
  <c r="CB27" i="105"/>
  <c r="CF27" i="105" s="1"/>
  <c r="CJ25" i="105"/>
  <c r="CN25" i="105" s="1"/>
  <c r="CB25" i="105"/>
  <c r="CF25" i="105" s="1"/>
  <c r="CL21" i="105"/>
  <c r="CP21" i="105" s="1"/>
  <c r="CD21" i="105"/>
  <c r="CH21" i="105" s="1"/>
  <c r="CL17" i="105"/>
  <c r="CP17" i="105" s="1"/>
  <c r="CD17" i="105"/>
  <c r="CH17" i="105" s="1"/>
  <c r="CL14" i="105"/>
  <c r="CP14" i="105" s="1"/>
  <c r="CD14" i="105"/>
  <c r="CH14" i="105" s="1"/>
  <c r="CL25" i="105"/>
  <c r="CP25" i="105" s="1"/>
  <c r="CD25" i="105"/>
  <c r="CH25" i="105" s="1"/>
  <c r="CJ12" i="105"/>
  <c r="CN12" i="105" s="1"/>
  <c r="CB12" i="105"/>
  <c r="CF12" i="105" s="1"/>
  <c r="CD27" i="105"/>
  <c r="CH27" i="105" s="1"/>
  <c r="CL27" i="105"/>
  <c r="CP27" i="105" s="1"/>
  <c r="CJ23" i="105"/>
  <c r="CN23" i="105" s="1"/>
  <c r="CB23" i="105"/>
  <c r="CF23" i="105" s="1"/>
  <c r="CB10" i="105"/>
  <c r="CF10" i="105" s="1"/>
  <c r="CJ10" i="105"/>
  <c r="CN10" i="105" s="1"/>
  <c r="CL5" i="105"/>
  <c r="CP5" i="105" s="1"/>
  <c r="CD5" i="105"/>
  <c r="CH5" i="105" s="1"/>
  <c r="AG77" i="107"/>
  <c r="AE78" i="107"/>
  <c r="DR27" i="107"/>
  <c r="DP28" i="107" s="1"/>
  <c r="CJ12" i="107"/>
  <c r="CN12" i="107" s="1"/>
  <c r="CB12" i="107"/>
  <c r="CF12" i="107" s="1"/>
  <c r="CL21" i="107"/>
  <c r="CP21" i="107" s="1"/>
  <c r="CD21" i="107"/>
  <c r="CH21" i="107" s="1"/>
  <c r="CL5" i="107"/>
  <c r="CP5" i="107" s="1"/>
  <c r="CD5" i="107"/>
  <c r="CH5" i="107" s="1"/>
  <c r="C42" i="107"/>
  <c r="CL27" i="107"/>
  <c r="CP27" i="107" s="1"/>
  <c r="CD27" i="107"/>
  <c r="CH27" i="107" s="1"/>
  <c r="CL14" i="107"/>
  <c r="CP14" i="107" s="1"/>
  <c r="CD14" i="107"/>
  <c r="CH14" i="107" s="1"/>
  <c r="CJ27" i="107"/>
  <c r="CN27" i="107" s="1"/>
  <c r="CB27" i="107"/>
  <c r="CF27" i="107" s="1"/>
  <c r="CJ17" i="107"/>
  <c r="CN17" i="107" s="1"/>
  <c r="CB17" i="107"/>
  <c r="CF17" i="107" s="1"/>
  <c r="CL10" i="107"/>
  <c r="CP10" i="107" s="1"/>
  <c r="CD10" i="107"/>
  <c r="CH10" i="107" s="1"/>
  <c r="CB10" i="107"/>
  <c r="CF10" i="107" s="1"/>
  <c r="CJ10" i="107"/>
  <c r="CN10" i="107" s="1"/>
  <c r="CL12" i="107"/>
  <c r="CP12" i="107" s="1"/>
  <c r="CD12" i="107"/>
  <c r="CH12" i="107" s="1"/>
  <c r="CJ25" i="107"/>
  <c r="CN25" i="107" s="1"/>
  <c r="CB25" i="107"/>
  <c r="CF25" i="107" s="1"/>
  <c r="CJ21" i="107"/>
  <c r="CN21" i="107" s="1"/>
  <c r="CB21" i="107"/>
  <c r="CF21" i="107" s="1"/>
  <c r="CB14" i="107"/>
  <c r="CF14" i="107" s="1"/>
  <c r="CJ14" i="107"/>
  <c r="CN14" i="107" s="1"/>
  <c r="CB5" i="107"/>
  <c r="CF5" i="107" s="1"/>
  <c r="CJ5" i="107"/>
  <c r="CN5" i="107" s="1"/>
  <c r="CL17" i="107"/>
  <c r="CP17" i="107" s="1"/>
  <c r="CD17" i="107"/>
  <c r="CH17" i="107" s="1"/>
  <c r="CD23" i="107"/>
  <c r="CH23" i="107" s="1"/>
  <c r="CL23" i="107"/>
  <c r="CP23" i="107" s="1"/>
  <c r="CJ23" i="107"/>
  <c r="CN23" i="107" s="1"/>
  <c r="CB23" i="107"/>
  <c r="CF23" i="107" s="1"/>
  <c r="AG77" i="106"/>
  <c r="AE78" i="106" s="1"/>
  <c r="CD27" i="106"/>
  <c r="CH27" i="106" s="1"/>
  <c r="CL27" i="106"/>
  <c r="CP27" i="106" s="1"/>
  <c r="CL17" i="106"/>
  <c r="CP17" i="106" s="1"/>
  <c r="CD17" i="106"/>
  <c r="CH17" i="106" s="1"/>
  <c r="CD12" i="106"/>
  <c r="CH12" i="106" s="1"/>
  <c r="CL12" i="106"/>
  <c r="CP12" i="106" s="1"/>
  <c r="CD5" i="106"/>
  <c r="CH5" i="106" s="1"/>
  <c r="CL5" i="106"/>
  <c r="CP5" i="106" s="1"/>
  <c r="CL23" i="106"/>
  <c r="CP23" i="106" s="1"/>
  <c r="CD23" i="106"/>
  <c r="CH23" i="106" s="1"/>
  <c r="CJ21" i="106"/>
  <c r="CN21" i="106" s="1"/>
  <c r="CB21" i="106"/>
  <c r="CF21" i="106" s="1"/>
  <c r="CJ5" i="106"/>
  <c r="CN5" i="106" s="1"/>
  <c r="CB5" i="106"/>
  <c r="CF5" i="106" s="1"/>
  <c r="CL10" i="106"/>
  <c r="CP10" i="106" s="1"/>
  <c r="CD10" i="106"/>
  <c r="CH10" i="106" s="1"/>
  <c r="CB12" i="106"/>
  <c r="CF12" i="106" s="1"/>
  <c r="CJ12" i="106"/>
  <c r="CN12" i="106" s="1"/>
  <c r="CB10" i="106"/>
  <c r="CF10" i="106" s="1"/>
  <c r="CJ10" i="106"/>
  <c r="CN10" i="106" s="1"/>
  <c r="CD25" i="106"/>
  <c r="CH25" i="106" s="1"/>
  <c r="CL25" i="106"/>
  <c r="CP25" i="106" s="1"/>
  <c r="CJ14" i="106"/>
  <c r="CN14" i="106" s="1"/>
  <c r="CB14" i="106"/>
  <c r="CF14" i="106" s="1"/>
  <c r="DR26" i="106"/>
  <c r="DP27" i="106" s="1"/>
  <c r="C42" i="106"/>
  <c r="CL21" i="106"/>
  <c r="CP21" i="106" s="1"/>
  <c r="CD21" i="106"/>
  <c r="CH21" i="106" s="1"/>
  <c r="CJ27" i="106"/>
  <c r="CN27" i="106" s="1"/>
  <c r="CB27" i="106"/>
  <c r="CF27" i="106" s="1"/>
  <c r="CL14" i="106"/>
  <c r="CP14" i="106" s="1"/>
  <c r="CD14" i="106"/>
  <c r="CH14" i="106" s="1"/>
  <c r="CJ17" i="106"/>
  <c r="CN17" i="106" s="1"/>
  <c r="CB17" i="106"/>
  <c r="CF17" i="106" s="1"/>
  <c r="CJ23" i="106"/>
  <c r="CN23" i="106" s="1"/>
  <c r="CB23" i="106"/>
  <c r="CF23" i="106" s="1"/>
  <c r="DR26" i="105"/>
  <c r="DP27" i="105"/>
  <c r="C42" i="105"/>
  <c r="AG77" i="105"/>
  <c r="AE78" i="105" s="1"/>
  <c r="AG76" i="104"/>
  <c r="AE77" i="104" s="1"/>
  <c r="CL27" i="104"/>
  <c r="CJ28" i="104" s="1"/>
  <c r="AG76" i="102"/>
  <c r="AE77" i="102" s="1"/>
  <c r="CL26" i="102"/>
  <c r="CJ27" i="102" s="1"/>
  <c r="C41" i="102"/>
  <c r="AG77" i="101"/>
  <c r="AE78" i="101"/>
  <c r="CL26" i="101"/>
  <c r="CJ27" i="101" s="1"/>
  <c r="C41" i="101"/>
  <c r="CL26" i="100"/>
  <c r="CJ27" i="100" s="1"/>
  <c r="AG76" i="100"/>
  <c r="AE77" i="100" s="1"/>
  <c r="C40" i="100"/>
  <c r="CL26" i="98"/>
  <c r="CJ27" i="98" s="1"/>
  <c r="C41" i="98"/>
  <c r="AG78" i="98"/>
  <c r="AE79" i="98" s="1"/>
  <c r="AG77" i="97"/>
  <c r="AE78" i="97"/>
  <c r="BV26" i="97"/>
  <c r="BT27" i="97"/>
  <c r="C42" i="97"/>
  <c r="C41" i="96"/>
  <c r="BV26" i="96"/>
  <c r="BT27" i="96" s="1"/>
  <c r="BN27" i="95"/>
  <c r="BL28" i="95" s="1"/>
  <c r="AG77" i="95"/>
  <c r="AE78" i="95" s="1"/>
  <c r="C41" i="95"/>
  <c r="AE76" i="89"/>
  <c r="AG76" i="89" s="1"/>
  <c r="AE77" i="89" s="1"/>
  <c r="AG77" i="89" s="1"/>
  <c r="AE78" i="89" s="1"/>
  <c r="BN26" i="94"/>
  <c r="BL27" i="94" s="1"/>
  <c r="C40" i="94"/>
  <c r="AG76" i="94"/>
  <c r="AE77" i="94" s="1"/>
  <c r="AG77" i="93"/>
  <c r="AE78" i="93" s="1"/>
  <c r="C42" i="93"/>
  <c r="BF26" i="93"/>
  <c r="BD27" i="93"/>
  <c r="C42" i="92"/>
  <c r="AG76" i="92"/>
  <c r="AE77" i="92" s="1"/>
  <c r="BF26" i="92"/>
  <c r="BD27" i="92" s="1"/>
  <c r="C39" i="89"/>
  <c r="BF27" i="89"/>
  <c r="BD28" i="89" s="1"/>
  <c r="BQ8" i="88"/>
  <c r="BQ22" i="88" s="1"/>
  <c r="BQ50" i="88" s="1"/>
  <c r="K12" i="88"/>
  <c r="K74" i="88" s="1"/>
  <c r="S12" i="88"/>
  <c r="S14" i="88" s="1"/>
  <c r="S16" i="88" s="1"/>
  <c r="S18" i="88" s="1"/>
  <c r="S20" i="88" s="1"/>
  <c r="AQ12" i="88"/>
  <c r="AQ14" i="88" s="1"/>
  <c r="AQ16" i="88" s="1"/>
  <c r="AQ18" i="88" s="1"/>
  <c r="AQ20" i="88" s="1"/>
  <c r="AQ22" i="88" s="1"/>
  <c r="AQ24" i="88" s="1"/>
  <c r="AQ26" i="88" s="1"/>
  <c r="AQ28" i="88" s="1"/>
  <c r="AQ30" i="88" s="1"/>
  <c r="AQ32" i="88" s="1"/>
  <c r="AQ34" i="88" s="1"/>
  <c r="AQ36" i="88" s="1"/>
  <c r="AQ38" i="88" s="1"/>
  <c r="AQ40" i="88" s="1"/>
  <c r="AQ42" i="88" s="1"/>
  <c r="AQ44" i="88" s="1"/>
  <c r="AY12" i="88"/>
  <c r="AY14" i="88" s="1"/>
  <c r="AY16" i="88" s="1"/>
  <c r="AY18" i="88" s="1"/>
  <c r="AY20" i="88" s="1"/>
  <c r="AY22" i="88" s="1"/>
  <c r="AY24" i="88" s="1"/>
  <c r="AY26" i="88" s="1"/>
  <c r="AY28" i="88" s="1"/>
  <c r="AY30" i="88" s="1"/>
  <c r="AY32" i="88" s="1"/>
  <c r="AY34" i="88" s="1"/>
  <c r="AY36" i="88" s="1"/>
  <c r="AY38" i="88" s="1"/>
  <c r="AY40" i="88" s="1"/>
  <c r="AY42" i="88" s="1"/>
  <c r="AY44" i="88" s="1"/>
  <c r="AY46" i="88" s="1"/>
  <c r="AY48" i="88" s="1"/>
  <c r="AY50" i="88" s="1"/>
  <c r="AY52" i="88" s="1"/>
  <c r="BO74" i="88"/>
  <c r="BG12" i="88"/>
  <c r="AA12" i="88"/>
  <c r="AA14" i="88" s="1"/>
  <c r="AA16" i="88" s="1"/>
  <c r="AA18" i="88" s="1"/>
  <c r="AA20" i="88" s="1"/>
  <c r="AA22" i="88" s="1"/>
  <c r="AA24" i="88" s="1"/>
  <c r="AA26" i="88" s="1"/>
  <c r="AA28" i="88" s="1"/>
  <c r="AH74" i="88"/>
  <c r="BO12" i="88"/>
  <c r="BO14" i="88" s="1"/>
  <c r="BO16" i="88" s="1"/>
  <c r="BO18" i="88" s="1"/>
  <c r="BO20" i="88" s="1"/>
  <c r="BO22" i="88" s="1"/>
  <c r="BO24" i="88" s="1"/>
  <c r="BO26" i="88" s="1"/>
  <c r="BO28" i="88" s="1"/>
  <c r="BO30" i="88" s="1"/>
  <c r="BO32" i="88" s="1"/>
  <c r="BO34" i="88" s="1"/>
  <c r="BO36" i="88" s="1"/>
  <c r="BO38" i="88" s="1"/>
  <c r="BO40" i="88" s="1"/>
  <c r="BO42" i="88" s="1"/>
  <c r="BO44" i="88" s="1"/>
  <c r="BO46" i="88" s="1"/>
  <c r="BO48" i="88" s="1"/>
  <c r="BO50" i="88" s="1"/>
  <c r="BO52" i="88" s="1"/>
  <c r="BO54" i="88" s="1"/>
  <c r="BO56" i="88" s="1"/>
  <c r="BO58" i="88" s="1"/>
  <c r="BO60" i="88" s="1"/>
  <c r="BO62" i="88" s="1"/>
  <c r="BO64" i="88" s="1"/>
  <c r="BO66" i="88" s="1"/>
  <c r="BO68" i="88" s="1"/>
  <c r="AR74" i="88"/>
  <c r="AZ14" i="88"/>
  <c r="AZ16" i="88" s="1"/>
  <c r="AZ18" i="88" s="1"/>
  <c r="AZ20" i="88" s="1"/>
  <c r="AZ22" i="88" s="1"/>
  <c r="AZ24" i="88" s="1"/>
  <c r="AZ26" i="88" s="1"/>
  <c r="AZ28" i="88" s="1"/>
  <c r="AZ30" i="88" s="1"/>
  <c r="AZ32" i="88" s="1"/>
  <c r="AZ34" i="88" s="1"/>
  <c r="AZ36" i="88" s="1"/>
  <c r="AZ38" i="88" s="1"/>
  <c r="AZ40" i="88" s="1"/>
  <c r="AZ42" i="88" s="1"/>
  <c r="AZ44" i="88" s="1"/>
  <c r="AZ46" i="88" s="1"/>
  <c r="AZ48" i="88" s="1"/>
  <c r="AZ50" i="88" s="1"/>
  <c r="AZ52" i="88" s="1"/>
  <c r="AZ54" i="88" s="1"/>
  <c r="AZ74" i="88"/>
  <c r="CB7" i="88"/>
  <c r="BZ8" i="88" s="1"/>
  <c r="I74" i="88"/>
  <c r="BP10" i="88"/>
  <c r="Q12" i="88"/>
  <c r="Q14" i="88" s="1"/>
  <c r="Q16" i="88" s="1"/>
  <c r="Q18" i="88" s="1"/>
  <c r="Y74" i="88"/>
  <c r="AG12" i="88"/>
  <c r="AG14" i="88" s="1"/>
  <c r="AG16" i="88" s="1"/>
  <c r="AG18" i="88" s="1"/>
  <c r="AG20" i="88" s="1"/>
  <c r="AG22" i="88" s="1"/>
  <c r="AG24" i="88" s="1"/>
  <c r="AG26" i="88" s="1"/>
  <c r="AG28" i="88" s="1"/>
  <c r="AG30" i="88" s="1"/>
  <c r="AG32" i="88" s="1"/>
  <c r="AG34" i="88" s="1"/>
  <c r="AO12" i="88"/>
  <c r="AO14" i="88" s="1"/>
  <c r="AO16" i="88" s="1"/>
  <c r="AO18" i="88" s="1"/>
  <c r="AO20" i="88" s="1"/>
  <c r="AO22" i="88" s="1"/>
  <c r="AO24" i="88" s="1"/>
  <c r="AO26" i="88" s="1"/>
  <c r="AO28" i="88" s="1"/>
  <c r="AO30" i="88" s="1"/>
  <c r="AO32" i="88" s="1"/>
  <c r="AO34" i="88" s="1"/>
  <c r="AO36" i="88" s="1"/>
  <c r="AO38" i="88" s="1"/>
  <c r="AO40" i="88" s="1"/>
  <c r="AO42" i="88" s="1"/>
  <c r="AW12" i="88"/>
  <c r="AW14" i="88" s="1"/>
  <c r="AW16" i="88" s="1"/>
  <c r="AW18" i="88" s="1"/>
  <c r="AW20" i="88" s="1"/>
  <c r="AW22" i="88" s="1"/>
  <c r="AW24" i="88" s="1"/>
  <c r="AW26" i="88" s="1"/>
  <c r="AW28" i="88" s="1"/>
  <c r="AW30" i="88" s="1"/>
  <c r="AW32" i="88" s="1"/>
  <c r="AW34" i="88" s="1"/>
  <c r="AW36" i="88" s="1"/>
  <c r="AW38" i="88" s="1"/>
  <c r="AW40" i="88" s="1"/>
  <c r="AW42" i="88" s="1"/>
  <c r="AW44" i="88" s="1"/>
  <c r="AW46" i="88" s="1"/>
  <c r="AW48" i="88" s="1"/>
  <c r="AW50" i="88" s="1"/>
  <c r="BE74" i="88"/>
  <c r="BM12" i="88"/>
  <c r="BM14" i="88" s="1"/>
  <c r="BM16" i="88" s="1"/>
  <c r="BM18" i="88" s="1"/>
  <c r="BM20" i="88" s="1"/>
  <c r="BM22" i="88" s="1"/>
  <c r="BM24" i="88" s="1"/>
  <c r="BM26" i="88" s="1"/>
  <c r="BM28" i="88" s="1"/>
  <c r="BM30" i="88" s="1"/>
  <c r="BM32" i="88" s="1"/>
  <c r="BM34" i="88" s="1"/>
  <c r="BM36" i="88" s="1"/>
  <c r="BM38" i="88" s="1"/>
  <c r="BM40" i="88" s="1"/>
  <c r="BM42" i="88" s="1"/>
  <c r="BM44" i="88" s="1"/>
  <c r="BM46" i="88" s="1"/>
  <c r="BM48" i="88" s="1"/>
  <c r="BM50" i="88" s="1"/>
  <c r="BM52" i="88" s="1"/>
  <c r="BM54" i="88" s="1"/>
  <c r="BM56" i="88" s="1"/>
  <c r="BM58" i="88" s="1"/>
  <c r="BM60" i="88" s="1"/>
  <c r="BM62" i="88" s="1"/>
  <c r="BM64" i="88" s="1"/>
  <c r="BM66" i="88" s="1"/>
  <c r="AI12" i="88"/>
  <c r="AI14" i="88" s="1"/>
  <c r="AI16" i="88" s="1"/>
  <c r="AI18" i="88" s="1"/>
  <c r="AI20" i="88" s="1"/>
  <c r="AI22" i="88" s="1"/>
  <c r="AI24" i="88" s="1"/>
  <c r="AI26" i="88" s="1"/>
  <c r="AI28" i="88" s="1"/>
  <c r="AI30" i="88" s="1"/>
  <c r="AI32" i="88" s="1"/>
  <c r="AI34" i="88" s="1"/>
  <c r="AI36" i="88" s="1"/>
  <c r="J12" i="88"/>
  <c r="J74" i="88"/>
  <c r="R12" i="88"/>
  <c r="R14" i="88" s="1"/>
  <c r="R16" i="88" s="1"/>
  <c r="R18" i="88" s="1"/>
  <c r="R20" i="88" s="1"/>
  <c r="Z12" i="88"/>
  <c r="Z14" i="88" s="1"/>
  <c r="Z16" i="88" s="1"/>
  <c r="Z18" i="88" s="1"/>
  <c r="Z20" i="88" s="1"/>
  <c r="Z22" i="88" s="1"/>
  <c r="Z24" i="88" s="1"/>
  <c r="Z26" i="88" s="1"/>
  <c r="Z28" i="88" s="1"/>
  <c r="AP12" i="88"/>
  <c r="AP14" i="88" s="1"/>
  <c r="AP16" i="88" s="1"/>
  <c r="AP18" i="88" s="1"/>
  <c r="AP20" i="88" s="1"/>
  <c r="AP22" i="88" s="1"/>
  <c r="AP24" i="88" s="1"/>
  <c r="AP26" i="88" s="1"/>
  <c r="AP28" i="88" s="1"/>
  <c r="AP30" i="88" s="1"/>
  <c r="AP32" i="88" s="1"/>
  <c r="AP34" i="88" s="1"/>
  <c r="AP36" i="88" s="1"/>
  <c r="AP38" i="88" s="1"/>
  <c r="AP40" i="88" s="1"/>
  <c r="AP42" i="88" s="1"/>
  <c r="AP44" i="88" s="1"/>
  <c r="AX12" i="88"/>
  <c r="AX14" i="88" s="1"/>
  <c r="AX16" i="88" s="1"/>
  <c r="AX18" i="88" s="1"/>
  <c r="AX20" i="88" s="1"/>
  <c r="AX22" i="88" s="1"/>
  <c r="AX24" i="88" s="1"/>
  <c r="AX26" i="88" s="1"/>
  <c r="AX28" i="88" s="1"/>
  <c r="AX30" i="88" s="1"/>
  <c r="AX32" i="88" s="1"/>
  <c r="AX34" i="88" s="1"/>
  <c r="AX36" i="88" s="1"/>
  <c r="AX38" i="88" s="1"/>
  <c r="AX40" i="88" s="1"/>
  <c r="AX42" i="88" s="1"/>
  <c r="AX44" i="88" s="1"/>
  <c r="AX46" i="88" s="1"/>
  <c r="AX48" i="88" s="1"/>
  <c r="AX50" i="88" s="1"/>
  <c r="AX52" i="88" s="1"/>
  <c r="BF74" i="88"/>
  <c r="BF12" i="88"/>
  <c r="BF14" i="88" s="1"/>
  <c r="BF16" i="88" s="1"/>
  <c r="BF18" i="88" s="1"/>
  <c r="BF20" i="88" s="1"/>
  <c r="BF22" i="88" s="1"/>
  <c r="BF24" i="88" s="1"/>
  <c r="BF26" i="88" s="1"/>
  <c r="BF28" i="88" s="1"/>
  <c r="BF30" i="88" s="1"/>
  <c r="BF32" i="88" s="1"/>
  <c r="BF34" i="88" s="1"/>
  <c r="BF36" i="88" s="1"/>
  <c r="BF38" i="88" s="1"/>
  <c r="BF40" i="88" s="1"/>
  <c r="BF42" i="88" s="1"/>
  <c r="BF44" i="88" s="1"/>
  <c r="BF46" i="88" s="1"/>
  <c r="BF48" i="88" s="1"/>
  <c r="BF50" i="88" s="1"/>
  <c r="BF52" i="88" s="1"/>
  <c r="BF54" i="88" s="1"/>
  <c r="BF56" i="88" s="1"/>
  <c r="BF58" i="88" s="1"/>
  <c r="BF60" i="88" s="1"/>
  <c r="BH12" i="88"/>
  <c r="BH14" i="88" s="1"/>
  <c r="BH16" i="88" s="1"/>
  <c r="BH18" i="88" s="1"/>
  <c r="BH20" i="88" s="1"/>
  <c r="BH22" i="88" s="1"/>
  <c r="BH24" i="88" s="1"/>
  <c r="BH26" i="88" s="1"/>
  <c r="BH28" i="88" s="1"/>
  <c r="BH30" i="88" s="1"/>
  <c r="BH32" i="88" s="1"/>
  <c r="BH34" i="88" s="1"/>
  <c r="BH36" i="88" s="1"/>
  <c r="BH38" i="88" s="1"/>
  <c r="BH40" i="88" s="1"/>
  <c r="BH42" i="88" s="1"/>
  <c r="BH44" i="88" s="1"/>
  <c r="BH46" i="88" s="1"/>
  <c r="BH48" i="88" s="1"/>
  <c r="BH50" i="88" s="1"/>
  <c r="BH52" i="88" s="1"/>
  <c r="BH54" i="88" s="1"/>
  <c r="BH56" i="88" s="1"/>
  <c r="BH58" i="88" s="1"/>
  <c r="BH60" i="88" s="1"/>
  <c r="BH62" i="88" s="1"/>
  <c r="F75" i="88"/>
  <c r="E77" i="88"/>
  <c r="N74" i="88"/>
  <c r="V74" i="88"/>
  <c r="AD74" i="88"/>
  <c r="AL74" i="88"/>
  <c r="AT74" i="88"/>
  <c r="BB74" i="88"/>
  <c r="BJ74" i="88"/>
  <c r="T12" i="88"/>
  <c r="T14" i="88" s="1"/>
  <c r="T16" i="88" s="1"/>
  <c r="T18" i="88" s="1"/>
  <c r="T20" i="88" s="1"/>
  <c r="T22" i="88" s="1"/>
  <c r="O74" i="88"/>
  <c r="AE74" i="88"/>
  <c r="AM74" i="88"/>
  <c r="AU74" i="88"/>
  <c r="BK74" i="88"/>
  <c r="W74" i="88"/>
  <c r="AJ74" i="88"/>
  <c r="AB12" i="88"/>
  <c r="AB14" i="88" s="1"/>
  <c r="AB16" i="88" s="1"/>
  <c r="AB18" i="88" s="1"/>
  <c r="AB20" i="88" s="1"/>
  <c r="AB22" i="88" s="1"/>
  <c r="AB24" i="88" s="1"/>
  <c r="AB26" i="88" s="1"/>
  <c r="AB28" i="88" s="1"/>
  <c r="AB30" i="88" s="1"/>
  <c r="BU8" i="88"/>
  <c r="P74" i="88"/>
  <c r="X74" i="88"/>
  <c r="AF74" i="88"/>
  <c r="AN74" i="88"/>
  <c r="AV74" i="88"/>
  <c r="BD74" i="88"/>
  <c r="BL74" i="88"/>
  <c r="L12" i="88"/>
  <c r="L14" i="88" s="1"/>
  <c r="BC12" i="88"/>
  <c r="BC14" i="88" s="1"/>
  <c r="BC16" i="88" s="1"/>
  <c r="BC18" i="88" s="1"/>
  <c r="BC20" i="88" s="1"/>
  <c r="BC22" i="88" s="1"/>
  <c r="BC24" i="88" s="1"/>
  <c r="BC26" i="88" s="1"/>
  <c r="BC28" i="88" s="1"/>
  <c r="BC30" i="88" s="1"/>
  <c r="BC32" i="88" s="1"/>
  <c r="BC34" i="88" s="1"/>
  <c r="BC36" i="88" s="1"/>
  <c r="BC38" i="88" s="1"/>
  <c r="BC40" i="88" s="1"/>
  <c r="BC42" i="88" s="1"/>
  <c r="BC44" i="88" s="1"/>
  <c r="BC46" i="88" s="1"/>
  <c r="BC48" i="88" s="1"/>
  <c r="BC50" i="88" s="1"/>
  <c r="BC52" i="88" s="1"/>
  <c r="BC54" i="88" s="1"/>
  <c r="BC56" i="88" s="1"/>
  <c r="BN12" i="88"/>
  <c r="BN14" i="88" s="1"/>
  <c r="BN16" i="88" s="1"/>
  <c r="BN18" i="88" s="1"/>
  <c r="BN20" i="88" s="1"/>
  <c r="BN22" i="88" s="1"/>
  <c r="BN24" i="88" s="1"/>
  <c r="BN26" i="88" s="1"/>
  <c r="BN28" i="88" s="1"/>
  <c r="BN30" i="88" s="1"/>
  <c r="BN32" i="88" s="1"/>
  <c r="BN34" i="88" s="1"/>
  <c r="BN36" i="88" s="1"/>
  <c r="BN38" i="88" s="1"/>
  <c r="BN40" i="88" s="1"/>
  <c r="BN42" i="88" s="1"/>
  <c r="BN44" i="88" s="1"/>
  <c r="BN46" i="88" s="1"/>
  <c r="BN48" i="88" s="1"/>
  <c r="BN50" i="88" s="1"/>
  <c r="BN52" i="88" s="1"/>
  <c r="BN54" i="88" s="1"/>
  <c r="BN56" i="88" s="1"/>
  <c r="BN58" i="88" s="1"/>
  <c r="BN60" i="88" s="1"/>
  <c r="BN62" i="88" s="1"/>
  <c r="BN64" i="88" s="1"/>
  <c r="BN66" i="88" s="1"/>
  <c r="BN68" i="88" s="1"/>
  <c r="BP68" i="88" s="1"/>
  <c r="M74" i="88"/>
  <c r="BI74" i="88"/>
  <c r="U12" i="88"/>
  <c r="U14" i="88" s="1"/>
  <c r="U16" i="88" s="1"/>
  <c r="U18" i="88" s="1"/>
  <c r="U20" i="88" s="1"/>
  <c r="U22" i="88" s="1"/>
  <c r="AC12" i="88"/>
  <c r="AC14" i="88" s="1"/>
  <c r="AC16" i="88" s="1"/>
  <c r="AC18" i="88" s="1"/>
  <c r="AC20" i="88" s="1"/>
  <c r="AC22" i="88" s="1"/>
  <c r="AC24" i="88" s="1"/>
  <c r="AC26" i="88" s="1"/>
  <c r="AC28" i="88" s="1"/>
  <c r="AC30" i="88" s="1"/>
  <c r="AK12" i="88"/>
  <c r="AK14" i="88" s="1"/>
  <c r="AK16" i="88" s="1"/>
  <c r="AK18" i="88" s="1"/>
  <c r="AK20" i="88" s="1"/>
  <c r="AK22" i="88" s="1"/>
  <c r="AK24" i="88" s="1"/>
  <c r="AK26" i="88" s="1"/>
  <c r="AK28" i="88" s="1"/>
  <c r="AK30" i="88" s="1"/>
  <c r="AK32" i="88" s="1"/>
  <c r="AK34" i="88" s="1"/>
  <c r="AK36" i="88" s="1"/>
  <c r="AK38" i="88" s="1"/>
  <c r="AS12" i="88"/>
  <c r="BA12" i="88"/>
  <c r="BI12" i="88"/>
  <c r="BI14" i="88" s="1"/>
  <c r="BI16" i="88" s="1"/>
  <c r="BI18" i="88" s="1"/>
  <c r="BI20" i="88" s="1"/>
  <c r="BI22" i="88" s="1"/>
  <c r="BI24" i="88" s="1"/>
  <c r="BI26" i="88" s="1"/>
  <c r="BI28" i="88" s="1"/>
  <c r="BI30" i="88" s="1"/>
  <c r="BI32" i="88" s="1"/>
  <c r="BI34" i="88" s="1"/>
  <c r="BI36" i="88" s="1"/>
  <c r="BI38" i="88" s="1"/>
  <c r="BI40" i="88" s="1"/>
  <c r="BI42" i="88" s="1"/>
  <c r="BI44" i="88" s="1"/>
  <c r="BI46" i="88" s="1"/>
  <c r="BI48" i="88" s="1"/>
  <c r="BI50" i="88" s="1"/>
  <c r="BI52" i="88" s="1"/>
  <c r="BI54" i="88" s="1"/>
  <c r="BI56" i="88" s="1"/>
  <c r="BI58" i="88" s="1"/>
  <c r="BI60" i="88" s="1"/>
  <c r="BI62" i="88" s="1"/>
  <c r="D77" i="88"/>
  <c r="AG96" i="117" l="1"/>
  <c r="AE97" i="117" s="1"/>
  <c r="BT44" i="117"/>
  <c r="BR45" i="117"/>
  <c r="BF45" i="117"/>
  <c r="BD46" i="117" s="1"/>
  <c r="V164" i="116"/>
  <c r="AF164" i="116" s="1"/>
  <c r="J179" i="116"/>
  <c r="O167" i="116"/>
  <c r="S167" i="116" s="1"/>
  <c r="AY74" i="88"/>
  <c r="AK74" i="88"/>
  <c r="BC74" i="88"/>
  <c r="AW7" i="115"/>
  <c r="AW8" i="115" s="1"/>
  <c r="AW10" i="115" s="1"/>
  <c r="AW11" i="115" s="1"/>
  <c r="AD23" i="115"/>
  <c r="AD24" i="115"/>
  <c r="AF18" i="115"/>
  <c r="AE22" i="115"/>
  <c r="AB34" i="115"/>
  <c r="Z34" i="115"/>
  <c r="Z33" i="115"/>
  <c r="AL7" i="115"/>
  <c r="Z32" i="115"/>
  <c r="BG5" i="115"/>
  <c r="AT5" i="115"/>
  <c r="AC26" i="115"/>
  <c r="AC27" i="115" s="1"/>
  <c r="AB29" i="115"/>
  <c r="AB30" i="115" s="1"/>
  <c r="BQ32" i="88"/>
  <c r="BQ60" i="88" s="1"/>
  <c r="BF32" i="113"/>
  <c r="BD33" i="113"/>
  <c r="AG83" i="113"/>
  <c r="AE84" i="113"/>
  <c r="W69" i="113"/>
  <c r="W72" i="113" s="1"/>
  <c r="AS47" i="113"/>
  <c r="AG82" i="112"/>
  <c r="AE83" i="112" s="1"/>
  <c r="DC47" i="112"/>
  <c r="DR32" i="112"/>
  <c r="DP33" i="112"/>
  <c r="BQ26" i="88"/>
  <c r="BQ54" i="88" s="1"/>
  <c r="AO74" i="88"/>
  <c r="BA14" i="88"/>
  <c r="BA16" i="88" s="1"/>
  <c r="BA18" i="88" s="1"/>
  <c r="BA20" i="88" s="1"/>
  <c r="BA22" i="88" s="1"/>
  <c r="BA24" i="88" s="1"/>
  <c r="BA26" i="88" s="1"/>
  <c r="BA28" i="88" s="1"/>
  <c r="BA30" i="88" s="1"/>
  <c r="BA32" i="88" s="1"/>
  <c r="BA34" i="88" s="1"/>
  <c r="BA36" i="88" s="1"/>
  <c r="BA38" i="88" s="1"/>
  <c r="BA40" i="88" s="1"/>
  <c r="BA42" i="88" s="1"/>
  <c r="BA44" i="88" s="1"/>
  <c r="BA46" i="88" s="1"/>
  <c r="BA48" i="88" s="1"/>
  <c r="BA50" i="88" s="1"/>
  <c r="BA52" i="88" s="1"/>
  <c r="BA54" i="88" s="1"/>
  <c r="BA74" i="88"/>
  <c r="AS14" i="88"/>
  <c r="AS16" i="88" s="1"/>
  <c r="AS18" i="88" s="1"/>
  <c r="AS20" i="88" s="1"/>
  <c r="AS22" i="88" s="1"/>
  <c r="AS24" i="88" s="1"/>
  <c r="AS26" i="88" s="1"/>
  <c r="AS28" i="88" s="1"/>
  <c r="AS30" i="88" s="1"/>
  <c r="AS32" i="88" s="1"/>
  <c r="AS34" i="88" s="1"/>
  <c r="AS36" i="88" s="1"/>
  <c r="AS38" i="88" s="1"/>
  <c r="AS40" i="88" s="1"/>
  <c r="AS42" i="88" s="1"/>
  <c r="AS44" i="88" s="1"/>
  <c r="AS46" i="88" s="1"/>
  <c r="AS74" i="88"/>
  <c r="BP42" i="88"/>
  <c r="BU42" i="88" s="1"/>
  <c r="R74" i="88"/>
  <c r="BG14" i="88"/>
  <c r="BG16" i="88" s="1"/>
  <c r="BG18" i="88" s="1"/>
  <c r="BG20" i="88" s="1"/>
  <c r="BG22" i="88" s="1"/>
  <c r="BG24" i="88" s="1"/>
  <c r="BG26" i="88" s="1"/>
  <c r="BG28" i="88" s="1"/>
  <c r="BG30" i="88" s="1"/>
  <c r="BG32" i="88" s="1"/>
  <c r="BG34" i="88" s="1"/>
  <c r="BG36" i="88" s="1"/>
  <c r="BG38" i="88" s="1"/>
  <c r="BG40" i="88" s="1"/>
  <c r="BG42" i="88" s="1"/>
  <c r="BG44" i="88" s="1"/>
  <c r="BG46" i="88" s="1"/>
  <c r="BG48" i="88" s="1"/>
  <c r="BG50" i="88" s="1"/>
  <c r="BG52" i="88" s="1"/>
  <c r="BG54" i="88" s="1"/>
  <c r="BG56" i="88" s="1"/>
  <c r="BG58" i="88" s="1"/>
  <c r="BG60" i="88" s="1"/>
  <c r="AE78" i="96"/>
  <c r="AG74" i="88"/>
  <c r="BP66" i="88"/>
  <c r="BU66" i="88" s="1"/>
  <c r="Q74" i="88"/>
  <c r="AQ74" i="88"/>
  <c r="DR28" i="107"/>
  <c r="DP29" i="107" s="1"/>
  <c r="AG78" i="107"/>
  <c r="AE79" i="107" s="1"/>
  <c r="C43" i="107"/>
  <c r="DR27" i="106"/>
  <c r="DP28" i="106" s="1"/>
  <c r="C43" i="106"/>
  <c r="AG78" i="106"/>
  <c r="AE79" i="106" s="1"/>
  <c r="AG78" i="105"/>
  <c r="AE79" i="105" s="1"/>
  <c r="C43" i="105"/>
  <c r="DR27" i="105"/>
  <c r="DP28" i="105" s="1"/>
  <c r="CL28" i="104"/>
  <c r="CJ29" i="104"/>
  <c r="AG77" i="104"/>
  <c r="AE78" i="104" s="1"/>
  <c r="CL27" i="102"/>
  <c r="CJ28" i="102" s="1"/>
  <c r="AG77" i="102"/>
  <c r="AE78" i="102" s="1"/>
  <c r="C42" i="102"/>
  <c r="CL27" i="101"/>
  <c r="CJ28" i="101" s="1"/>
  <c r="AG78" i="101"/>
  <c r="AE79" i="101" s="1"/>
  <c r="C42" i="101"/>
  <c r="AG77" i="100"/>
  <c r="AE78" i="100" s="1"/>
  <c r="CL27" i="100"/>
  <c r="CJ28" i="100"/>
  <c r="C41" i="100"/>
  <c r="AG79" i="98"/>
  <c r="AE80" i="98" s="1"/>
  <c r="C42" i="98"/>
  <c r="CL27" i="98"/>
  <c r="CJ28" i="98" s="1"/>
  <c r="C43" i="97"/>
  <c r="BV27" i="97"/>
  <c r="BT28" i="97" s="1"/>
  <c r="AG78" i="97"/>
  <c r="AE79" i="97" s="1"/>
  <c r="BV27" i="96"/>
  <c r="BT28" i="96" s="1"/>
  <c r="AG78" i="96"/>
  <c r="AE79" i="96" s="1"/>
  <c r="C42" i="96"/>
  <c r="AG78" i="95"/>
  <c r="AE79" i="95" s="1"/>
  <c r="BN28" i="95"/>
  <c r="BL29" i="95" s="1"/>
  <c r="C42" i="95"/>
  <c r="AG77" i="94"/>
  <c r="AE78" i="94" s="1"/>
  <c r="BN27" i="94"/>
  <c r="BL28" i="94" s="1"/>
  <c r="C41" i="94"/>
  <c r="BF27" i="93"/>
  <c r="BD28" i="93" s="1"/>
  <c r="C43" i="93"/>
  <c r="AG78" i="93"/>
  <c r="AE79" i="93" s="1"/>
  <c r="BF27" i="92"/>
  <c r="BD28" i="92" s="1"/>
  <c r="AG77" i="92"/>
  <c r="AE78" i="92" s="1"/>
  <c r="C43" i="92"/>
  <c r="BQ36" i="88"/>
  <c r="BQ64" i="88" s="1"/>
  <c r="BQ10" i="88"/>
  <c r="BQ38" i="88" s="1"/>
  <c r="BQ66" i="88" s="1"/>
  <c r="BT66" i="88" s="1"/>
  <c r="BQ30" i="88"/>
  <c r="BQ58" i="88" s="1"/>
  <c r="E25" i="88"/>
  <c r="BF28" i="89"/>
  <c r="BD29" i="89" s="1"/>
  <c r="C40" i="89"/>
  <c r="AG78" i="89"/>
  <c r="AE79" i="89" s="1"/>
  <c r="BQ34" i="88"/>
  <c r="BQ62" i="88" s="1"/>
  <c r="BQ28" i="88"/>
  <c r="BQ56" i="88" s="1"/>
  <c r="BQ24" i="88"/>
  <c r="BQ52" i="88" s="1"/>
  <c r="BT8" i="88"/>
  <c r="BQ12" i="88"/>
  <c r="BQ40" i="88" s="1"/>
  <c r="BQ68" i="88" s="1"/>
  <c r="BR8" i="88"/>
  <c r="G75" i="88"/>
  <c r="F77" i="88"/>
  <c r="BP16" i="88"/>
  <c r="BU10" i="88"/>
  <c r="S74" i="88"/>
  <c r="AB74" i="88"/>
  <c r="AX74" i="88"/>
  <c r="BP12" i="88"/>
  <c r="BP58" i="88"/>
  <c r="BU68" i="88"/>
  <c r="BP14" i="88"/>
  <c r="BH74" i="88"/>
  <c r="T74" i="88"/>
  <c r="AP74" i="88"/>
  <c r="BP48" i="88"/>
  <c r="BP22" i="88"/>
  <c r="AC74" i="88"/>
  <c r="BN74" i="88"/>
  <c r="Z74" i="88"/>
  <c r="BM74" i="88"/>
  <c r="AI74" i="88"/>
  <c r="BP64" i="88"/>
  <c r="BP24" i="88"/>
  <c r="BP62" i="88"/>
  <c r="AW74" i="88"/>
  <c r="CB8" i="88"/>
  <c r="BZ9" i="88" s="1"/>
  <c r="U74" i="88"/>
  <c r="L74" i="88"/>
  <c r="BP60" i="88"/>
  <c r="BP20" i="88"/>
  <c r="BP54" i="88"/>
  <c r="AA74" i="88"/>
  <c r="BF46" i="117" l="1"/>
  <c r="BD47" i="117" s="1"/>
  <c r="AG97" i="117"/>
  <c r="AE98" i="117" s="1"/>
  <c r="BT45" i="117"/>
  <c r="BR46" i="117"/>
  <c r="V167" i="116"/>
  <c r="AF167" i="116" s="1"/>
  <c r="S171" i="116"/>
  <c r="V171" i="116" s="1"/>
  <c r="AE171" i="116" s="1"/>
  <c r="S170" i="116"/>
  <c r="S168" i="116"/>
  <c r="J192" i="116"/>
  <c r="O179" i="116"/>
  <c r="S179" i="116" s="1"/>
  <c r="BP26" i="88"/>
  <c r="BP30" i="88"/>
  <c r="BG74" i="88"/>
  <c r="BP40" i="88"/>
  <c r="BR40" i="88" s="1"/>
  <c r="BP34" i="88"/>
  <c r="BR34" i="88" s="1"/>
  <c r="BP44" i="88"/>
  <c r="BP56" i="88"/>
  <c r="BR56" i="88" s="1"/>
  <c r="BP50" i="88"/>
  <c r="BT50" i="88" s="1"/>
  <c r="BP36" i="88"/>
  <c r="BU36" i="88" s="1"/>
  <c r="BP32" i="88"/>
  <c r="BP28" i="88"/>
  <c r="AE23" i="115"/>
  <c r="AM5" i="115"/>
  <c r="AE24" i="115"/>
  <c r="AM6" i="115"/>
  <c r="AT24" i="115"/>
  <c r="AT25" i="115" s="1"/>
  <c r="AT6" i="115"/>
  <c r="AY4" i="115"/>
  <c r="AY7" i="115" s="1"/>
  <c r="C5" i="115" s="1"/>
  <c r="AT20" i="115"/>
  <c r="AD26" i="115"/>
  <c r="AD27" i="115" s="1"/>
  <c r="AL9" i="115"/>
  <c r="AL8" i="115"/>
  <c r="AC29" i="115"/>
  <c r="AC30" i="115" s="1"/>
  <c r="AG18" i="115"/>
  <c r="AG22" i="115" s="1"/>
  <c r="AF22" i="115"/>
  <c r="BG6" i="115"/>
  <c r="AB31" i="115"/>
  <c r="AB32" i="115" s="1"/>
  <c r="BF33" i="113"/>
  <c r="BD34" i="113"/>
  <c r="AN88" i="113"/>
  <c r="AA75" i="113"/>
  <c r="AG84" i="113"/>
  <c r="AE85" i="113" s="1"/>
  <c r="AG83" i="112"/>
  <c r="AE84" i="112"/>
  <c r="W69" i="112"/>
  <c r="W72" i="112" s="1"/>
  <c r="DE47" i="112"/>
  <c r="DR33" i="112"/>
  <c r="DP34" i="112" s="1"/>
  <c r="BP52" i="88"/>
  <c r="BU52" i="88" s="1"/>
  <c r="BP46" i="88"/>
  <c r="BU46" i="88" s="1"/>
  <c r="BP18" i="88"/>
  <c r="BP38" i="88"/>
  <c r="BR66" i="88"/>
  <c r="BR36" i="88"/>
  <c r="BR10" i="88"/>
  <c r="BT36" i="88"/>
  <c r="BT10" i="88"/>
  <c r="AG79" i="107"/>
  <c r="AE80" i="107" s="1"/>
  <c r="DR29" i="107"/>
  <c r="DP30" i="107" s="1"/>
  <c r="AG79" i="106"/>
  <c r="AE80" i="106" s="1"/>
  <c r="DR28" i="106"/>
  <c r="DP29" i="106" s="1"/>
  <c r="AG79" i="105"/>
  <c r="AE80" i="105" s="1"/>
  <c r="DR28" i="105"/>
  <c r="DP29" i="105" s="1"/>
  <c r="AG78" i="104"/>
  <c r="AE79" i="104" s="1"/>
  <c r="CL29" i="104"/>
  <c r="CJ30" i="104" s="1"/>
  <c r="AG78" i="102"/>
  <c r="AE79" i="102" s="1"/>
  <c r="C43" i="102"/>
  <c r="CL28" i="102"/>
  <c r="CJ29" i="102" s="1"/>
  <c r="AG79" i="101"/>
  <c r="AE80" i="101" s="1"/>
  <c r="CL28" i="101"/>
  <c r="CJ29" i="101" s="1"/>
  <c r="C43" i="101"/>
  <c r="C42" i="100"/>
  <c r="CL28" i="100"/>
  <c r="CJ29" i="100" s="1"/>
  <c r="AG78" i="100"/>
  <c r="AE79" i="100" s="1"/>
  <c r="AG80" i="98"/>
  <c r="AE81" i="98" s="1"/>
  <c r="CL28" i="98"/>
  <c r="CJ29" i="98" s="1"/>
  <c r="C43" i="98"/>
  <c r="BV28" i="97"/>
  <c r="BT29" i="97" s="1"/>
  <c r="AG79" i="97"/>
  <c r="AE80" i="97" s="1"/>
  <c r="AG79" i="96"/>
  <c r="AE80" i="96" s="1"/>
  <c r="C43" i="96"/>
  <c r="BV28" i="96"/>
  <c r="BT29" i="96" s="1"/>
  <c r="BN29" i="95"/>
  <c r="BL30" i="95" s="1"/>
  <c r="C43" i="95"/>
  <c r="AG79" i="95"/>
  <c r="AE80" i="95" s="1"/>
  <c r="C42" i="94"/>
  <c r="AG78" i="94"/>
  <c r="AE79" i="94" s="1"/>
  <c r="BN28" i="94"/>
  <c r="BL29" i="94" s="1"/>
  <c r="AG79" i="93"/>
  <c r="AE80" i="93" s="1"/>
  <c r="BF28" i="93"/>
  <c r="BD29" i="93" s="1"/>
  <c r="AG78" i="92"/>
  <c r="AE80" i="92" s="1"/>
  <c r="BF28" i="92"/>
  <c r="BD29" i="92" s="1"/>
  <c r="AG79" i="89"/>
  <c r="AE80" i="89" s="1"/>
  <c r="C41" i="89"/>
  <c r="AQ35" i="89"/>
  <c r="BF29" i="89"/>
  <c r="BD30" i="89" s="1"/>
  <c r="BQ74" i="88"/>
  <c r="BR68" i="88"/>
  <c r="BT68" i="88"/>
  <c r="BQ14" i="88"/>
  <c r="BQ16" i="88" s="1"/>
  <c r="CB9" i="88"/>
  <c r="BZ10" i="88"/>
  <c r="BU60" i="88"/>
  <c r="BR60" i="88"/>
  <c r="BT60" i="88"/>
  <c r="BR24" i="88"/>
  <c r="BU24" i="88"/>
  <c r="BT24" i="88"/>
  <c r="BT22" i="88"/>
  <c r="BR22" i="88"/>
  <c r="BU22" i="88"/>
  <c r="BT26" i="88"/>
  <c r="BU26" i="88"/>
  <c r="BR26" i="88"/>
  <c r="BR64" i="88"/>
  <c r="BU64" i="88"/>
  <c r="BT64" i="88"/>
  <c r="BU48" i="88"/>
  <c r="BR38" i="88"/>
  <c r="BT38" i="88"/>
  <c r="BU38" i="88"/>
  <c r="BT56" i="88"/>
  <c r="BU16" i="88"/>
  <c r="BU20" i="88"/>
  <c r="BU40" i="88"/>
  <c r="BU12" i="88"/>
  <c r="BT12" i="88"/>
  <c r="BR12" i="88"/>
  <c r="BR62" i="88"/>
  <c r="BU62" i="88"/>
  <c r="BT62" i="88"/>
  <c r="BU58" i="88"/>
  <c r="BT58" i="88"/>
  <c r="BR58" i="88"/>
  <c r="BU32" i="88"/>
  <c r="BT32" i="88"/>
  <c r="BR32" i="88"/>
  <c r="BR28" i="88"/>
  <c r="BU28" i="88"/>
  <c r="BT28" i="88"/>
  <c r="BU54" i="88"/>
  <c r="BT54" i="88"/>
  <c r="BR54" i="88"/>
  <c r="BU34" i="88"/>
  <c r="BT34" i="88"/>
  <c r="H75" i="88"/>
  <c r="G77" i="88"/>
  <c r="BU14" i="88"/>
  <c r="BR30" i="88"/>
  <c r="BT30" i="88"/>
  <c r="BU30" i="88"/>
  <c r="BU44" i="88"/>
  <c r="AG98" i="117" l="1"/>
  <c r="AE99" i="117"/>
  <c r="BF47" i="117"/>
  <c r="BD48" i="117"/>
  <c r="BT46" i="117"/>
  <c r="BR47" i="117"/>
  <c r="V179" i="116"/>
  <c r="AC179" i="116" s="1"/>
  <c r="S180" i="116"/>
  <c r="V168" i="116"/>
  <c r="AF168" i="116" s="1"/>
  <c r="S169" i="116"/>
  <c r="V169" i="116" s="1"/>
  <c r="O192" i="116"/>
  <c r="S192" i="116" s="1"/>
  <c r="V192" i="116" s="1"/>
  <c r="AG192" i="116" s="1"/>
  <c r="AG206" i="116" s="1"/>
  <c r="AG207" i="116" s="1"/>
  <c r="J194" i="116"/>
  <c r="V170" i="116"/>
  <c r="AE170" i="116" s="1"/>
  <c r="S172" i="116"/>
  <c r="BU50" i="88"/>
  <c r="BT40" i="88"/>
  <c r="BU56" i="88"/>
  <c r="BR50" i="88"/>
  <c r="BR52" i="88"/>
  <c r="C6" i="115"/>
  <c r="D5" i="115"/>
  <c r="E5" i="115" s="1"/>
  <c r="F5" i="115" s="1"/>
  <c r="G5" i="115" s="1"/>
  <c r="C10" i="115" s="1"/>
  <c r="D10" i="115" s="1"/>
  <c r="E10" i="115" s="1"/>
  <c r="F10" i="115" s="1"/>
  <c r="G10" i="115" s="1"/>
  <c r="BT52" i="88"/>
  <c r="BP74" i="88"/>
  <c r="AF23" i="115"/>
  <c r="AF24" i="115"/>
  <c r="AT36" i="115"/>
  <c r="AG24" i="115"/>
  <c r="AT39" i="115" s="1"/>
  <c r="AN5" i="115"/>
  <c r="AG23" i="115"/>
  <c r="AY13" i="115"/>
  <c r="AY16" i="115" s="1"/>
  <c r="AV28" i="115"/>
  <c r="AY23" i="115"/>
  <c r="AC31" i="115"/>
  <c r="AC32" i="115" s="1"/>
  <c r="AD29" i="115"/>
  <c r="AD30" i="115" s="1"/>
  <c r="AE26" i="115"/>
  <c r="AE27" i="115" s="1"/>
  <c r="AG85" i="113"/>
  <c r="AE86" i="113" s="1"/>
  <c r="BF34" i="113"/>
  <c r="BD35" i="113" s="1"/>
  <c r="DR34" i="112"/>
  <c r="DP35" i="112" s="1"/>
  <c r="AG84" i="112"/>
  <c r="AE85" i="112" s="1"/>
  <c r="CZ88" i="112"/>
  <c r="CZ93" i="112" s="1"/>
  <c r="AA75" i="112"/>
  <c r="BQ42" i="88"/>
  <c r="BR42" i="88" s="1"/>
  <c r="BT14" i="88"/>
  <c r="BU18" i="88"/>
  <c r="DR30" i="107"/>
  <c r="DP31" i="107" s="1"/>
  <c r="AG80" i="107"/>
  <c r="AE81" i="107"/>
  <c r="DR29" i="106"/>
  <c r="DP30" i="106"/>
  <c r="AG80" i="106"/>
  <c r="AE81" i="106" s="1"/>
  <c r="AG80" i="105"/>
  <c r="AE81" i="105"/>
  <c r="DR29" i="105"/>
  <c r="DP30" i="105"/>
  <c r="AG79" i="104"/>
  <c r="AE80" i="104" s="1"/>
  <c r="CL30" i="104"/>
  <c r="CJ31" i="104"/>
  <c r="AG79" i="102"/>
  <c r="AE80" i="102"/>
  <c r="CL29" i="102"/>
  <c r="CJ30" i="102" s="1"/>
  <c r="CL29" i="101"/>
  <c r="CJ30" i="101" s="1"/>
  <c r="AG80" i="101"/>
  <c r="AE81" i="101" s="1"/>
  <c r="AG79" i="100"/>
  <c r="AE80" i="100" s="1"/>
  <c r="CL29" i="100"/>
  <c r="CJ30" i="100" s="1"/>
  <c r="C43" i="100"/>
  <c r="CL29" i="98"/>
  <c r="CJ30" i="98" s="1"/>
  <c r="AG81" i="98"/>
  <c r="AE82" i="98" s="1"/>
  <c r="AG80" i="97"/>
  <c r="AE81" i="97"/>
  <c r="BV29" i="97"/>
  <c r="BT30" i="97" s="1"/>
  <c r="BV29" i="96"/>
  <c r="BT30" i="96" s="1"/>
  <c r="AG80" i="96"/>
  <c r="AE81" i="96"/>
  <c r="AG80" i="95"/>
  <c r="AE81" i="95"/>
  <c r="BN30" i="95"/>
  <c r="BL31" i="95" s="1"/>
  <c r="BN29" i="94"/>
  <c r="BL30" i="94" s="1"/>
  <c r="C43" i="94"/>
  <c r="AG79" i="94"/>
  <c r="AE80" i="94" s="1"/>
  <c r="AG80" i="93"/>
  <c r="AE81" i="93" s="1"/>
  <c r="BF29" i="93"/>
  <c r="BD30" i="93" s="1"/>
  <c r="BF29" i="92"/>
  <c r="BD30" i="92" s="1"/>
  <c r="AG80" i="92"/>
  <c r="AE81" i="92" s="1"/>
  <c r="BR74" i="88"/>
  <c r="BR78" i="88" s="1"/>
  <c r="BR81" i="88" s="1"/>
  <c r="BF30" i="89"/>
  <c r="BD31" i="89" s="1"/>
  <c r="AG80" i="89"/>
  <c r="AE81" i="89" s="1"/>
  <c r="C42" i="89"/>
  <c r="BR16" i="88"/>
  <c r="BT16" i="88"/>
  <c r="BR14" i="88"/>
  <c r="BQ18" i="88"/>
  <c r="BQ44" i="88"/>
  <c r="I75" i="88"/>
  <c r="H77" i="88"/>
  <c r="CB10" i="88"/>
  <c r="BZ11" i="88"/>
  <c r="BT47" i="117" l="1"/>
  <c r="BR48" i="117"/>
  <c r="BF48" i="117"/>
  <c r="BD49" i="117" s="1"/>
  <c r="AG99" i="117"/>
  <c r="AE100" i="117" s="1"/>
  <c r="O194" i="116"/>
  <c r="S194" i="116" s="1"/>
  <c r="V194" i="116" s="1"/>
  <c r="AC194" i="116" s="1"/>
  <c r="J196" i="116"/>
  <c r="V180" i="116"/>
  <c r="AC180" i="116" s="1"/>
  <c r="S181" i="116"/>
  <c r="S173" i="116"/>
  <c r="V172" i="116"/>
  <c r="AC172" i="116" s="1"/>
  <c r="AG26" i="115"/>
  <c r="AN6" i="115" s="1"/>
  <c r="D4" i="115"/>
  <c r="D6" i="115" s="1"/>
  <c r="E4" i="115" s="1"/>
  <c r="E6" i="115" s="1"/>
  <c r="F4" i="115" s="1"/>
  <c r="F6" i="115" s="1"/>
  <c r="G4" i="115" s="1"/>
  <c r="G6" i="115" s="1"/>
  <c r="C9" i="115" s="1"/>
  <c r="C11" i="115" s="1"/>
  <c r="H6" i="115"/>
  <c r="AE29" i="115"/>
  <c r="AE30" i="115" s="1"/>
  <c r="AD31" i="115"/>
  <c r="AF26" i="115"/>
  <c r="AF27" i="115" s="1"/>
  <c r="BT42" i="88"/>
  <c r="BF35" i="113"/>
  <c r="BD36" i="113" s="1"/>
  <c r="AG86" i="113"/>
  <c r="AE87" i="113" s="1"/>
  <c r="AG85" i="112"/>
  <c r="AE86" i="112"/>
  <c r="DR35" i="112"/>
  <c r="DP36" i="112" s="1"/>
  <c r="DF47" i="107"/>
  <c r="DH47" i="107" s="1"/>
  <c r="DR31" i="107"/>
  <c r="DP32" i="107"/>
  <c r="AG81" i="107"/>
  <c r="AE82" i="107" s="1"/>
  <c r="AG81" i="106"/>
  <c r="AE82" i="106" s="1"/>
  <c r="DR30" i="106"/>
  <c r="DP31" i="106" s="1"/>
  <c r="AG81" i="105"/>
  <c r="AE82" i="105" s="1"/>
  <c r="DR30" i="105"/>
  <c r="DP31" i="105" s="1"/>
  <c r="AG80" i="104"/>
  <c r="AE81" i="104" s="1"/>
  <c r="CL31" i="104"/>
  <c r="CJ32" i="104" s="1"/>
  <c r="BZ47" i="104"/>
  <c r="CB47" i="104" s="1"/>
  <c r="CL30" i="102"/>
  <c r="CJ31" i="102" s="1"/>
  <c r="AG80" i="102"/>
  <c r="AE81" i="102"/>
  <c r="AG81" i="101"/>
  <c r="AE82" i="101" s="1"/>
  <c r="CL30" i="101"/>
  <c r="CJ31" i="101" s="1"/>
  <c r="CL30" i="100"/>
  <c r="CJ31" i="100" s="1"/>
  <c r="AG80" i="100"/>
  <c r="AE81" i="100" s="1"/>
  <c r="AG82" i="98"/>
  <c r="BW47" i="98"/>
  <c r="AE83" i="98"/>
  <c r="CL30" i="98"/>
  <c r="CJ31" i="98" s="1"/>
  <c r="BV30" i="97"/>
  <c r="BT31" i="97" s="1"/>
  <c r="AG81" i="97"/>
  <c r="AE82" i="97" s="1"/>
  <c r="BV30" i="96"/>
  <c r="BT31" i="96" s="1"/>
  <c r="AG81" i="96"/>
  <c r="AE82" i="96" s="1"/>
  <c r="AG81" i="95"/>
  <c r="AE82" i="95" s="1"/>
  <c r="BB47" i="95"/>
  <c r="BD47" i="95" s="1"/>
  <c r="BN31" i="95"/>
  <c r="BL32" i="95" s="1"/>
  <c r="BN30" i="94"/>
  <c r="BL31" i="94" s="1"/>
  <c r="AG80" i="94"/>
  <c r="AE81" i="94" s="1"/>
  <c r="BF30" i="93"/>
  <c r="BD31" i="93" s="1"/>
  <c r="AG81" i="93"/>
  <c r="AE82" i="93" s="1"/>
  <c r="BF30" i="92"/>
  <c r="BD31" i="92" s="1"/>
  <c r="AG81" i="92"/>
  <c r="AE82" i="92" s="1"/>
  <c r="BF31" i="89"/>
  <c r="BD32" i="89" s="1"/>
  <c r="AT47" i="89"/>
  <c r="AV47" i="89" s="1"/>
  <c r="AG81" i="89"/>
  <c r="AE82" i="89" s="1"/>
  <c r="C43" i="89"/>
  <c r="CB11" i="88"/>
  <c r="BZ12" i="88" s="1"/>
  <c r="J75" i="88"/>
  <c r="I77" i="88"/>
  <c r="BT44" i="88"/>
  <c r="BR44" i="88"/>
  <c r="BQ46" i="88"/>
  <c r="BQ20" i="88"/>
  <c r="BT18" i="88"/>
  <c r="BR18" i="88"/>
  <c r="AG100" i="117" l="1"/>
  <c r="AE101" i="117" s="1"/>
  <c r="BF49" i="117"/>
  <c r="BD50" i="117"/>
  <c r="BT48" i="117"/>
  <c r="BR49" i="117"/>
  <c r="O196" i="116"/>
  <c r="S196" i="116" s="1"/>
  <c r="J198" i="116"/>
  <c r="S174" i="116"/>
  <c r="V173" i="116"/>
  <c r="AD173" i="116" s="1"/>
  <c r="AD206" i="116" s="1"/>
  <c r="AD207" i="116" s="1"/>
  <c r="S182" i="116"/>
  <c r="V181" i="116"/>
  <c r="AC181" i="116" s="1"/>
  <c r="AG27" i="115"/>
  <c r="D9" i="115"/>
  <c r="D11" i="115" s="1"/>
  <c r="E9" i="115" s="1"/>
  <c r="E11" i="115" s="1"/>
  <c r="F9" i="115" s="1"/>
  <c r="F11" i="115" s="1"/>
  <c r="G9" i="115" s="1"/>
  <c r="G11" i="115" s="1"/>
  <c r="H11" i="115"/>
  <c r="H13" i="115" s="1"/>
  <c r="AF29" i="115"/>
  <c r="AF30" i="115" s="1"/>
  <c r="AD33" i="115"/>
  <c r="BL5" i="115"/>
  <c r="AD32" i="115"/>
  <c r="AG29" i="115"/>
  <c r="AE31" i="115"/>
  <c r="AG87" i="113"/>
  <c r="AE88" i="113"/>
  <c r="BF36" i="113"/>
  <c r="BD37" i="113" s="1"/>
  <c r="DR36" i="112"/>
  <c r="DP37" i="112" s="1"/>
  <c r="AG86" i="112"/>
  <c r="AE87" i="112" s="1"/>
  <c r="AG82" i="107"/>
  <c r="AE83" i="107"/>
  <c r="DC47" i="107"/>
  <c r="DR32" i="107"/>
  <c r="DP33" i="107" s="1"/>
  <c r="DF47" i="106"/>
  <c r="DH47" i="106" s="1"/>
  <c r="DR31" i="106"/>
  <c r="DP32" i="106" s="1"/>
  <c r="AG82" i="106"/>
  <c r="AE83" i="106" s="1"/>
  <c r="DC47" i="106"/>
  <c r="AG82" i="105"/>
  <c r="AE83" i="105" s="1"/>
  <c r="DC47" i="105"/>
  <c r="DF47" i="105"/>
  <c r="DH47" i="105" s="1"/>
  <c r="DR31" i="105"/>
  <c r="DP32" i="105" s="1"/>
  <c r="AG81" i="104"/>
  <c r="AE82" i="104" s="1"/>
  <c r="CL32" i="104"/>
  <c r="CJ33" i="104" s="1"/>
  <c r="BZ47" i="102"/>
  <c r="CB47" i="102" s="1"/>
  <c r="CL31" i="102"/>
  <c r="CJ32" i="102" s="1"/>
  <c r="AG81" i="102"/>
  <c r="AE82" i="102" s="1"/>
  <c r="BZ47" i="101"/>
  <c r="CB47" i="101" s="1"/>
  <c r="CL31" i="101"/>
  <c r="CJ32" i="101" s="1"/>
  <c r="AG82" i="101"/>
  <c r="BW47" i="101"/>
  <c r="AE83" i="101"/>
  <c r="AG81" i="100"/>
  <c r="AE82" i="100" s="1"/>
  <c r="BZ47" i="100"/>
  <c r="CB47" i="100" s="1"/>
  <c r="CL31" i="100"/>
  <c r="CJ32" i="100" s="1"/>
  <c r="BZ47" i="98"/>
  <c r="CB47" i="98" s="1"/>
  <c r="CL31" i="98"/>
  <c r="CJ32" i="98" s="1"/>
  <c r="AG83" i="98"/>
  <c r="AE84" i="98" s="1"/>
  <c r="BY47" i="98"/>
  <c r="W69" i="98"/>
  <c r="W72" i="98" s="1"/>
  <c r="AG82" i="97"/>
  <c r="AE83" i="97" s="1"/>
  <c r="BG47" i="97"/>
  <c r="BJ47" i="97"/>
  <c r="BL47" i="97" s="1"/>
  <c r="BV31" i="97"/>
  <c r="BT32" i="97" s="1"/>
  <c r="AG82" i="96"/>
  <c r="AE83" i="96" s="1"/>
  <c r="BG47" i="96"/>
  <c r="BJ47" i="96"/>
  <c r="BL47" i="96" s="1"/>
  <c r="BV31" i="96"/>
  <c r="BT32" i="96" s="1"/>
  <c r="AY47" i="95"/>
  <c r="AG82" i="95"/>
  <c r="AE83" i="95" s="1"/>
  <c r="BN32" i="95"/>
  <c r="BL33" i="95" s="1"/>
  <c r="AG81" i="94"/>
  <c r="AE82" i="94" s="1"/>
  <c r="BB47" i="94"/>
  <c r="BD47" i="94" s="1"/>
  <c r="BN31" i="94"/>
  <c r="BL32" i="94" s="1"/>
  <c r="AQ47" i="93"/>
  <c r="AG82" i="93"/>
  <c r="AE83" i="93" s="1"/>
  <c r="AT47" i="93"/>
  <c r="AV47" i="93" s="1"/>
  <c r="BF31" i="93"/>
  <c r="BD32" i="93" s="1"/>
  <c r="AT47" i="92"/>
  <c r="AV47" i="92" s="1"/>
  <c r="BF31" i="92"/>
  <c r="BD32" i="92" s="1"/>
  <c r="AG82" i="92"/>
  <c r="AE83" i="92" s="1"/>
  <c r="AQ47" i="89"/>
  <c r="AG82" i="89"/>
  <c r="AE83" i="89" s="1"/>
  <c r="BF32" i="89"/>
  <c r="BD33" i="89" s="1"/>
  <c r="CB12" i="88"/>
  <c r="BZ13" i="88"/>
  <c r="BT46" i="88"/>
  <c r="BR46" i="88"/>
  <c r="K75" i="88"/>
  <c r="J77" i="88"/>
  <c r="BQ48" i="88"/>
  <c r="BR20" i="88"/>
  <c r="BT20" i="88"/>
  <c r="AG101" i="117" l="1"/>
  <c r="AE102" i="117"/>
  <c r="BT49" i="117"/>
  <c r="BR50" i="117"/>
  <c r="BF50" i="117"/>
  <c r="BD51" i="117"/>
  <c r="V174" i="116"/>
  <c r="AC174" i="116" s="1"/>
  <c r="S175" i="116"/>
  <c r="J200" i="116"/>
  <c r="O198" i="116"/>
  <c r="S198" i="116" s="1"/>
  <c r="V198" i="116" s="1"/>
  <c r="AC198" i="116" s="1"/>
  <c r="V182" i="116"/>
  <c r="AC182" i="116" s="1"/>
  <c r="S183" i="116"/>
  <c r="V196" i="116"/>
  <c r="AE196" i="116" s="1"/>
  <c r="AE206" i="116" s="1"/>
  <c r="AE207" i="116" s="1"/>
  <c r="AG30" i="115"/>
  <c r="AG31" i="115" s="1"/>
  <c r="AE32" i="115"/>
  <c r="AE33" i="115"/>
  <c r="AM7" i="115"/>
  <c r="BK31" i="115"/>
  <c r="AF31" i="115"/>
  <c r="BF37" i="113"/>
  <c r="BD38" i="113" s="1"/>
  <c r="AG88" i="113"/>
  <c r="AE89" i="113" s="1"/>
  <c r="DR37" i="112"/>
  <c r="DP38" i="112"/>
  <c r="AG87" i="112"/>
  <c r="AE88" i="112"/>
  <c r="DR33" i="107"/>
  <c r="DP34" i="107"/>
  <c r="W69" i="107"/>
  <c r="W72" i="107" s="1"/>
  <c r="DE47" i="107"/>
  <c r="AG83" i="107"/>
  <c r="AE84" i="107" s="1"/>
  <c r="DR32" i="106"/>
  <c r="DP33" i="106"/>
  <c r="AG83" i="106"/>
  <c r="AE84" i="106" s="1"/>
  <c r="W69" i="106"/>
  <c r="W72" i="106" s="1"/>
  <c r="DE47" i="106"/>
  <c r="DJ47" i="106" s="1"/>
  <c r="DR32" i="105"/>
  <c r="DP33" i="105"/>
  <c r="AG83" i="105"/>
  <c r="AE84" i="105" s="1"/>
  <c r="W69" i="105"/>
  <c r="W72" i="105" s="1"/>
  <c r="CZ88" i="105" s="1"/>
  <c r="DE47" i="105"/>
  <c r="AG82" i="104"/>
  <c r="AE83" i="104" s="1"/>
  <c r="BW47" i="104"/>
  <c r="CL33" i="104"/>
  <c r="CJ34" i="104" s="1"/>
  <c r="AG82" i="102"/>
  <c r="AE83" i="102" s="1"/>
  <c r="BW47" i="102"/>
  <c r="CL32" i="102"/>
  <c r="CJ33" i="102" s="1"/>
  <c r="W69" i="101"/>
  <c r="W72" i="101" s="1"/>
  <c r="BY47" i="101"/>
  <c r="CD47" i="101" s="1"/>
  <c r="AG83" i="101"/>
  <c r="AE84" i="101" s="1"/>
  <c r="CL32" i="101"/>
  <c r="CJ33" i="101" s="1"/>
  <c r="AG82" i="100"/>
  <c r="AE83" i="100"/>
  <c r="BW47" i="100"/>
  <c r="CL32" i="100"/>
  <c r="CJ33" i="100" s="1"/>
  <c r="AG84" i="98"/>
  <c r="AE85" i="98" s="1"/>
  <c r="CL32" i="98"/>
  <c r="CJ33" i="98"/>
  <c r="BT88" i="98"/>
  <c r="AA75" i="98"/>
  <c r="CD47" i="98"/>
  <c r="CB36" i="98" s="1"/>
  <c r="BV32" i="97"/>
  <c r="BT33" i="97"/>
  <c r="BN47" i="97"/>
  <c r="AG83" i="97"/>
  <c r="AE84" i="97"/>
  <c r="W69" i="97"/>
  <c r="W72" i="97" s="1"/>
  <c r="BI47" i="97"/>
  <c r="AG83" i="96"/>
  <c r="AE84" i="96" s="1"/>
  <c r="W69" i="96"/>
  <c r="W72" i="96" s="1"/>
  <c r="BI47" i="96"/>
  <c r="BN47" i="96" s="1"/>
  <c r="BV32" i="96"/>
  <c r="BT33" i="96" s="1"/>
  <c r="AG83" i="95"/>
  <c r="AE84" i="95"/>
  <c r="BN33" i="95"/>
  <c r="BL34" i="95" s="1"/>
  <c r="W69" i="95"/>
  <c r="W72" i="95" s="1"/>
  <c r="BA47" i="95"/>
  <c r="AY47" i="94"/>
  <c r="AG82" i="94"/>
  <c r="AE83" i="94" s="1"/>
  <c r="BN32" i="94"/>
  <c r="BL33" i="94" s="1"/>
  <c r="BF32" i="93"/>
  <c r="BD33" i="93" s="1"/>
  <c r="W69" i="93"/>
  <c r="W72" i="93" s="1"/>
  <c r="AS47" i="93"/>
  <c r="AG83" i="93"/>
  <c r="AE84" i="93" s="1"/>
  <c r="BF32" i="92"/>
  <c r="BD33" i="92" s="1"/>
  <c r="AQ47" i="92"/>
  <c r="AG83" i="92"/>
  <c r="AE84" i="92" s="1"/>
  <c r="AG83" i="89"/>
  <c r="AE84" i="89" s="1"/>
  <c r="BF33" i="89"/>
  <c r="BD34" i="89" s="1"/>
  <c r="W69" i="89"/>
  <c r="W72" i="89" s="1"/>
  <c r="AS47" i="89"/>
  <c r="BT48" i="88"/>
  <c r="BT70" i="88" s="1"/>
  <c r="BR48" i="88"/>
  <c r="L75" i="88"/>
  <c r="K77" i="88"/>
  <c r="CB13" i="88"/>
  <c r="BZ14" i="88" s="1"/>
  <c r="BF51" i="117" l="1"/>
  <c r="BD52" i="117"/>
  <c r="BT50" i="117"/>
  <c r="BR51" i="117"/>
  <c r="AG102" i="117"/>
  <c r="AE103" i="117"/>
  <c r="V183" i="116"/>
  <c r="AC183" i="116" s="1"/>
  <c r="S184" i="116"/>
  <c r="J202" i="116"/>
  <c r="O200" i="116"/>
  <c r="S200" i="116" s="1"/>
  <c r="S176" i="116"/>
  <c r="V176" i="116" s="1"/>
  <c r="AH176" i="116" s="1"/>
  <c r="AH206" i="116" s="1"/>
  <c r="AH207" i="116" s="1"/>
  <c r="V175" i="116"/>
  <c r="AC175" i="116" s="1"/>
  <c r="AM9" i="115"/>
  <c r="AM8" i="115"/>
  <c r="AG32" i="115"/>
  <c r="BL8" i="115"/>
  <c r="AG33" i="115"/>
  <c r="AT37" i="115"/>
  <c r="AN7" i="115"/>
  <c r="AW35" i="115"/>
  <c r="AW36" i="115" s="1"/>
  <c r="AW42" i="115" s="1"/>
  <c r="BM34" i="115"/>
  <c r="BK5" i="115" s="1"/>
  <c r="BM33" i="115"/>
  <c r="BJ5" i="115" s="1"/>
  <c r="BM32" i="115"/>
  <c r="BI5" i="115" s="1"/>
  <c r="BM31" i="115"/>
  <c r="BH5" i="115" s="1"/>
  <c r="AF32" i="115"/>
  <c r="BC8" i="115"/>
  <c r="AF33" i="115"/>
  <c r="AG89" i="113"/>
  <c r="AE90" i="113" s="1"/>
  <c r="BF38" i="113"/>
  <c r="BD39" i="113" s="1"/>
  <c r="AG88" i="112"/>
  <c r="AE89" i="112"/>
  <c r="DR38" i="112"/>
  <c r="DP39" i="112" s="1"/>
  <c r="AG84" i="107"/>
  <c r="AE85" i="107" s="1"/>
  <c r="CZ88" i="107"/>
  <c r="AA75" i="107"/>
  <c r="DR34" i="107"/>
  <c r="DP35" i="107"/>
  <c r="CZ88" i="106"/>
  <c r="AA75" i="106"/>
  <c r="AG84" i="106"/>
  <c r="AE85" i="106" s="1"/>
  <c r="DR33" i="106"/>
  <c r="DP34" i="106"/>
  <c r="DH36" i="106"/>
  <c r="DR33" i="105"/>
  <c r="DP34" i="105" s="1"/>
  <c r="AG84" i="105"/>
  <c r="AE85" i="105" s="1"/>
  <c r="AA75" i="105"/>
  <c r="DJ47" i="105"/>
  <c r="DH36" i="105" s="1"/>
  <c r="AG83" i="104"/>
  <c r="AE84" i="104" s="1"/>
  <c r="CL34" i="104"/>
  <c r="CJ35" i="104" s="1"/>
  <c r="BY47" i="104"/>
  <c r="W69" i="104"/>
  <c r="W72" i="104" s="1"/>
  <c r="CL33" i="102"/>
  <c r="CJ34" i="102" s="1"/>
  <c r="AG83" i="102"/>
  <c r="AE84" i="102"/>
  <c r="W69" i="102"/>
  <c r="W72" i="102" s="1"/>
  <c r="BY47" i="102"/>
  <c r="CB36" i="101"/>
  <c r="BT88" i="101"/>
  <c r="AA75" i="101"/>
  <c r="AG84" i="101"/>
  <c r="AE85" i="101" s="1"/>
  <c r="CL33" i="101"/>
  <c r="CJ34" i="101"/>
  <c r="CL33" i="100"/>
  <c r="CJ34" i="100" s="1"/>
  <c r="BY47" i="100"/>
  <c r="W69" i="100"/>
  <c r="W72" i="100" s="1"/>
  <c r="AG83" i="100"/>
  <c r="AE84" i="100"/>
  <c r="AG85" i="98"/>
  <c r="AE86" i="98" s="1"/>
  <c r="CL33" i="98"/>
  <c r="CJ34" i="98"/>
  <c r="AG84" i="97"/>
  <c r="AE85" i="97" s="1"/>
  <c r="BL36" i="97"/>
  <c r="BV33" i="97"/>
  <c r="BT34" i="97"/>
  <c r="BD88" i="97"/>
  <c r="AA75" i="97"/>
  <c r="BV33" i="96"/>
  <c r="BT34" i="96" s="1"/>
  <c r="AG84" i="96"/>
  <c r="AE85" i="96" s="1"/>
  <c r="AA75" i="96"/>
  <c r="BD88" i="96"/>
  <c r="BL36" i="96"/>
  <c r="BN34" i="95"/>
  <c r="BL35" i="95" s="1"/>
  <c r="AV88" i="95"/>
  <c r="AA75" i="95"/>
  <c r="AG84" i="95"/>
  <c r="AE85" i="95" s="1"/>
  <c r="W69" i="94"/>
  <c r="W72" i="94" s="1"/>
  <c r="BA47" i="94"/>
  <c r="BN33" i="94"/>
  <c r="BL34" i="94" s="1"/>
  <c r="AG83" i="94"/>
  <c r="AE84" i="94" s="1"/>
  <c r="BF33" i="93"/>
  <c r="BD34" i="93" s="1"/>
  <c r="AG84" i="93"/>
  <c r="AE85" i="93" s="1"/>
  <c r="AN88" i="93"/>
  <c r="AA75" i="93"/>
  <c r="AG84" i="92"/>
  <c r="AE85" i="92" s="1"/>
  <c r="BF33" i="92"/>
  <c r="BD34" i="92" s="1"/>
  <c r="W69" i="92"/>
  <c r="W72" i="92" s="1"/>
  <c r="AS47" i="92"/>
  <c r="AG84" i="89"/>
  <c r="AE85" i="89" s="1"/>
  <c r="BF34" i="89"/>
  <c r="BD35" i="89" s="1"/>
  <c r="AN88" i="89"/>
  <c r="AA75" i="89"/>
  <c r="CB14" i="88"/>
  <c r="BZ15" i="88" s="1"/>
  <c r="M75" i="88"/>
  <c r="L77" i="88"/>
  <c r="AG103" i="117" l="1"/>
  <c r="AE104" i="117" s="1"/>
  <c r="BT51" i="117"/>
  <c r="BR52" i="117"/>
  <c r="BF52" i="117"/>
  <c r="BD53" i="117" s="1"/>
  <c r="O202" i="116"/>
  <c r="J208" i="116"/>
  <c r="S185" i="116"/>
  <c r="V184" i="116"/>
  <c r="AC184" i="116" s="1"/>
  <c r="V200" i="116"/>
  <c r="AF200" i="116" s="1"/>
  <c r="O34" i="115"/>
  <c r="AN9" i="115"/>
  <c r="AN8" i="115"/>
  <c r="BK28" i="115"/>
  <c r="BI6" i="115"/>
  <c r="AT38" i="115"/>
  <c r="AT40" i="115" s="1"/>
  <c r="AT41" i="115" s="1"/>
  <c r="AT42" i="115"/>
  <c r="BH6" i="115"/>
  <c r="BG28" i="115"/>
  <c r="BM9" i="115"/>
  <c r="BJ6" i="115"/>
  <c r="BK6" i="115"/>
  <c r="BL6" i="115"/>
  <c r="BF39" i="113"/>
  <c r="BD40" i="113" s="1"/>
  <c r="AG90" i="113"/>
  <c r="AE91" i="113" s="1"/>
  <c r="DR39" i="112"/>
  <c r="DP40" i="112" s="1"/>
  <c r="AG89" i="112"/>
  <c r="AE90" i="112" s="1"/>
  <c r="AG85" i="107"/>
  <c r="AE86" i="107" s="1"/>
  <c r="DR35" i="107"/>
  <c r="DP36" i="107" s="1"/>
  <c r="AG85" i="106"/>
  <c r="AE86" i="106" s="1"/>
  <c r="DR34" i="106"/>
  <c r="DP35" i="106"/>
  <c r="DR34" i="105"/>
  <c r="DP35" i="105"/>
  <c r="AG85" i="105"/>
  <c r="AE86" i="105" s="1"/>
  <c r="CL35" i="104"/>
  <c r="CJ36" i="104" s="1"/>
  <c r="CD47" i="104"/>
  <c r="CB36" i="104" s="1"/>
  <c r="AG84" i="104"/>
  <c r="AE85" i="104" s="1"/>
  <c r="AA75" i="104"/>
  <c r="BT88" i="104"/>
  <c r="BT88" i="102"/>
  <c r="AA75" i="102"/>
  <c r="CD47" i="102"/>
  <c r="CB36" i="102" s="1"/>
  <c r="CL34" i="102"/>
  <c r="CJ35" i="102" s="1"/>
  <c r="AG84" i="102"/>
  <c r="AE85" i="102" s="1"/>
  <c r="AG85" i="101"/>
  <c r="AE86" i="101" s="1"/>
  <c r="CL34" i="101"/>
  <c r="CJ35" i="101" s="1"/>
  <c r="CL34" i="100"/>
  <c r="CJ35" i="100" s="1"/>
  <c r="BT88" i="100"/>
  <c r="AA75" i="100"/>
  <c r="CD47" i="100"/>
  <c r="CB36" i="100" s="1"/>
  <c r="AG84" i="100"/>
  <c r="AE85" i="100" s="1"/>
  <c r="AG86" i="98"/>
  <c r="AE87" i="98" s="1"/>
  <c r="CL34" i="98"/>
  <c r="CJ35" i="98" s="1"/>
  <c r="AG85" i="97"/>
  <c r="AE86" i="97" s="1"/>
  <c r="BV34" i="97"/>
  <c r="BT35" i="97" s="1"/>
  <c r="BV34" i="96"/>
  <c r="BT35" i="96" s="1"/>
  <c r="AG85" i="96"/>
  <c r="AE86" i="96"/>
  <c r="BN35" i="95"/>
  <c r="BL36" i="95" s="1"/>
  <c r="AG85" i="95"/>
  <c r="AE86" i="95" s="1"/>
  <c r="AG84" i="94"/>
  <c r="AE85" i="94" s="1"/>
  <c r="BN34" i="94"/>
  <c r="BL35" i="94" s="1"/>
  <c r="AV88" i="94"/>
  <c r="AA75" i="94"/>
  <c r="AG85" i="93"/>
  <c r="AE86" i="93" s="1"/>
  <c r="BF34" i="93"/>
  <c r="BD35" i="93" s="1"/>
  <c r="AG85" i="92"/>
  <c r="AE86" i="92" s="1"/>
  <c r="BF34" i="92"/>
  <c r="BD35" i="92" s="1"/>
  <c r="AN88" i="92"/>
  <c r="AA75" i="92"/>
  <c r="BF35" i="89"/>
  <c r="BD36" i="89" s="1"/>
  <c r="AG85" i="89"/>
  <c r="AE86" i="89" s="1"/>
  <c r="CB15" i="88"/>
  <c r="BZ16" i="88" s="1"/>
  <c r="N75" i="88"/>
  <c r="M77" i="88"/>
  <c r="BF53" i="117" l="1"/>
  <c r="BD54" i="117" s="1"/>
  <c r="AG104" i="117"/>
  <c r="AE105" i="117" s="1"/>
  <c r="BT52" i="117"/>
  <c r="BR53" i="117"/>
  <c r="V185" i="116"/>
  <c r="AC185" i="116" s="1"/>
  <c r="S186" i="116"/>
  <c r="S202" i="116"/>
  <c r="O205" i="116"/>
  <c r="AT43" i="115"/>
  <c r="AW43" i="115"/>
  <c r="AZ35" i="115" s="1"/>
  <c r="AZ40" i="115" s="1"/>
  <c r="AZ42" i="115" s="1"/>
  <c r="AZ43" i="115" s="1"/>
  <c r="BI36" i="115"/>
  <c r="BJ8" i="115" s="1"/>
  <c r="BI33" i="115"/>
  <c r="BI8" i="115" s="1"/>
  <c r="BI29" i="115"/>
  <c r="BE8" i="115" s="1"/>
  <c r="BE9" i="115" s="1"/>
  <c r="BI30" i="115"/>
  <c r="BF8" i="115" s="1"/>
  <c r="BF9" i="115" s="1"/>
  <c r="BI32" i="115"/>
  <c r="BH8" i="115" s="1"/>
  <c r="BI31" i="115"/>
  <c r="BG8" i="115" s="1"/>
  <c r="BG9" i="115" s="1"/>
  <c r="BI37" i="115"/>
  <c r="BK8" i="115" s="1"/>
  <c r="BI28" i="115"/>
  <c r="BD8" i="115" s="1"/>
  <c r="BD9" i="115" s="1"/>
  <c r="BM29" i="115"/>
  <c r="BB8" i="115" s="1"/>
  <c r="BM28" i="115"/>
  <c r="BM5" i="115" s="1"/>
  <c r="AG91" i="113"/>
  <c r="AE92" i="113" s="1"/>
  <c r="BF40" i="113"/>
  <c r="BD41" i="113" s="1"/>
  <c r="DR40" i="112"/>
  <c r="DP41" i="112" s="1"/>
  <c r="AG90" i="112"/>
  <c r="AE91" i="112"/>
  <c r="AG86" i="107"/>
  <c r="AE87" i="107" s="1"/>
  <c r="DR36" i="107"/>
  <c r="DP37" i="107"/>
  <c r="AG86" i="106"/>
  <c r="AE87" i="106" s="1"/>
  <c r="DR35" i="106"/>
  <c r="DP36" i="106" s="1"/>
  <c r="AG86" i="105"/>
  <c r="AE87" i="105" s="1"/>
  <c r="DR35" i="105"/>
  <c r="DP36" i="105"/>
  <c r="AG85" i="104"/>
  <c r="AE86" i="104"/>
  <c r="CL36" i="104"/>
  <c r="CJ37" i="104" s="1"/>
  <c r="AG85" i="102"/>
  <c r="AE86" i="102" s="1"/>
  <c r="CL35" i="102"/>
  <c r="CJ36" i="102"/>
  <c r="CL35" i="101"/>
  <c r="CJ36" i="101"/>
  <c r="AG86" i="101"/>
  <c r="AE87" i="101" s="1"/>
  <c r="AG85" i="100"/>
  <c r="AE86" i="100"/>
  <c r="CL35" i="100"/>
  <c r="CJ36" i="100" s="1"/>
  <c r="AG87" i="98"/>
  <c r="AE88" i="98" s="1"/>
  <c r="CL35" i="98"/>
  <c r="CJ36" i="98" s="1"/>
  <c r="BV35" i="97"/>
  <c r="BT36" i="97"/>
  <c r="AG86" i="97"/>
  <c r="AE87" i="97" s="1"/>
  <c r="BV35" i="96"/>
  <c r="BT36" i="96" s="1"/>
  <c r="AG86" i="96"/>
  <c r="AE87" i="96" s="1"/>
  <c r="BN36" i="95"/>
  <c r="BL37" i="95" s="1"/>
  <c r="AG86" i="95"/>
  <c r="AE87" i="95" s="1"/>
  <c r="AG85" i="94"/>
  <c r="AE86" i="94" s="1"/>
  <c r="BN35" i="94"/>
  <c r="BL36" i="94" s="1"/>
  <c r="BF35" i="93"/>
  <c r="BD36" i="93" s="1"/>
  <c r="AG86" i="93"/>
  <c r="AE87" i="93" s="1"/>
  <c r="AG86" i="92"/>
  <c r="AE87" i="92" s="1"/>
  <c r="BF35" i="92"/>
  <c r="BD36" i="92" s="1"/>
  <c r="BF36" i="89"/>
  <c r="BD37" i="89" s="1"/>
  <c r="AG86" i="89"/>
  <c r="AE87" i="89" s="1"/>
  <c r="CB16" i="88"/>
  <c r="BZ17" i="88" s="1"/>
  <c r="O75" i="88"/>
  <c r="N77" i="88"/>
  <c r="AG105" i="117" l="1"/>
  <c r="AE106" i="117"/>
  <c r="AG106" i="117" s="1"/>
  <c r="BF54" i="117"/>
  <c r="BD55" i="117"/>
  <c r="BF55" i="117" s="1"/>
  <c r="BT53" i="117"/>
  <c r="BR54" i="117"/>
  <c r="V186" i="116"/>
  <c r="AC186" i="116" s="1"/>
  <c r="S187" i="116"/>
  <c r="V202" i="116"/>
  <c r="S205" i="116"/>
  <c r="S207" i="116" s="1"/>
  <c r="BM6" i="115"/>
  <c r="BN5" i="115"/>
  <c r="BI9" i="115"/>
  <c r="BJ9" i="115"/>
  <c r="BH9" i="115"/>
  <c r="BB9" i="115"/>
  <c r="BN8" i="115"/>
  <c r="BC9" i="115"/>
  <c r="BK9" i="115"/>
  <c r="BL9" i="115"/>
  <c r="BF41" i="113"/>
  <c r="BD42" i="113" s="1"/>
  <c r="AG92" i="113"/>
  <c r="AE93" i="113" s="1"/>
  <c r="DR41" i="112"/>
  <c r="DP42" i="112" s="1"/>
  <c r="AG91" i="112"/>
  <c r="AE92" i="112" s="1"/>
  <c r="AG87" i="107"/>
  <c r="AE88" i="107" s="1"/>
  <c r="DR37" i="107"/>
  <c r="DP38" i="107" s="1"/>
  <c r="DR36" i="106"/>
  <c r="DP37" i="106"/>
  <c r="AG87" i="106"/>
  <c r="AE88" i="106" s="1"/>
  <c r="AG87" i="105"/>
  <c r="AE88" i="105" s="1"/>
  <c r="DR36" i="105"/>
  <c r="DP37" i="105"/>
  <c r="CL37" i="104"/>
  <c r="CJ38" i="104" s="1"/>
  <c r="AG86" i="104"/>
  <c r="AE87" i="104" s="1"/>
  <c r="AG86" i="102"/>
  <c r="AE87" i="102" s="1"/>
  <c r="CL36" i="102"/>
  <c r="CJ37" i="102" s="1"/>
  <c r="CL36" i="101"/>
  <c r="CJ37" i="101" s="1"/>
  <c r="AG87" i="101"/>
  <c r="AE88" i="101" s="1"/>
  <c r="AG86" i="100"/>
  <c r="AE87" i="100" s="1"/>
  <c r="CL36" i="100"/>
  <c r="CJ37" i="100" s="1"/>
  <c r="AG88" i="98"/>
  <c r="AE89" i="98" s="1"/>
  <c r="CL36" i="98"/>
  <c r="CJ37" i="98" s="1"/>
  <c r="AG87" i="97"/>
  <c r="AE88" i="97"/>
  <c r="BV36" i="97"/>
  <c r="BT37" i="97" s="1"/>
  <c r="AG87" i="96"/>
  <c r="AE88" i="96" s="1"/>
  <c r="BV36" i="96"/>
  <c r="BT37" i="96" s="1"/>
  <c r="AG87" i="95"/>
  <c r="AE88" i="95"/>
  <c r="BN37" i="95"/>
  <c r="BL38" i="95" s="1"/>
  <c r="BN36" i="94"/>
  <c r="BL37" i="94" s="1"/>
  <c r="AG86" i="94"/>
  <c r="AE87" i="94" s="1"/>
  <c r="AG87" i="93"/>
  <c r="AE88" i="93" s="1"/>
  <c r="BF36" i="93"/>
  <c r="BD37" i="93"/>
  <c r="BF36" i="92"/>
  <c r="BD37" i="92" s="1"/>
  <c r="AG87" i="92"/>
  <c r="AE88" i="92" s="1"/>
  <c r="AG87" i="89"/>
  <c r="AE88" i="89" s="1"/>
  <c r="BF37" i="89"/>
  <c r="BD38" i="89" s="1"/>
  <c r="CB17" i="88"/>
  <c r="BZ18" i="88" s="1"/>
  <c r="P75" i="88"/>
  <c r="O77" i="88"/>
  <c r="BT54" i="117" l="1"/>
  <c r="BR55" i="117"/>
  <c r="BT55" i="117" s="1"/>
  <c r="S188" i="116"/>
  <c r="V187" i="116"/>
  <c r="AC187" i="116" s="1"/>
  <c r="AF202" i="116"/>
  <c r="AF206" i="116" s="1"/>
  <c r="AF207" i="116" s="1"/>
  <c r="BB12" i="115"/>
  <c r="AM10" i="115" s="1"/>
  <c r="AM12" i="115" s="1"/>
  <c r="BN10" i="115"/>
  <c r="AG93" i="113"/>
  <c r="AE94" i="113" s="1"/>
  <c r="BF42" i="113"/>
  <c r="BD43" i="113" s="1"/>
  <c r="AG92" i="112"/>
  <c r="AE93" i="112" s="1"/>
  <c r="DR42" i="112"/>
  <c r="DP43" i="112" s="1"/>
  <c r="DR38" i="107"/>
  <c r="DP39" i="107"/>
  <c r="AG88" i="107"/>
  <c r="AE89" i="107"/>
  <c r="AG88" i="106"/>
  <c r="AE89" i="106"/>
  <c r="DR37" i="106"/>
  <c r="DP38" i="106" s="1"/>
  <c r="AG88" i="105"/>
  <c r="AE89" i="105"/>
  <c r="DR37" i="105"/>
  <c r="DP38" i="105" s="1"/>
  <c r="AG87" i="104"/>
  <c r="AE88" i="104" s="1"/>
  <c r="CJ39" i="104"/>
  <c r="CL38" i="104"/>
  <c r="AG87" i="102"/>
  <c r="AE88" i="102" s="1"/>
  <c r="CL37" i="102"/>
  <c r="CJ38" i="102" s="1"/>
  <c r="CL37" i="101"/>
  <c r="CJ38" i="101" s="1"/>
  <c r="AG88" i="101"/>
  <c r="AE89" i="101"/>
  <c r="AG87" i="100"/>
  <c r="AE88" i="100" s="1"/>
  <c r="CL37" i="100"/>
  <c r="CJ38" i="100" s="1"/>
  <c r="CL37" i="98"/>
  <c r="CJ38" i="98" s="1"/>
  <c r="AG89" i="98"/>
  <c r="AE90" i="98" s="1"/>
  <c r="BV37" i="97"/>
  <c r="BT38" i="97" s="1"/>
  <c r="AG88" i="97"/>
  <c r="AE89" i="97"/>
  <c r="AG88" i="96"/>
  <c r="AE89" i="96" s="1"/>
  <c r="BV37" i="96"/>
  <c r="BT38" i="96" s="1"/>
  <c r="BN38" i="95"/>
  <c r="BL39" i="95" s="1"/>
  <c r="AG88" i="95"/>
  <c r="AE89" i="95" s="1"/>
  <c r="AG87" i="94"/>
  <c r="AE88" i="94" s="1"/>
  <c r="BN37" i="94"/>
  <c r="BL38" i="94" s="1"/>
  <c r="BF37" i="93"/>
  <c r="BD38" i="93" s="1"/>
  <c r="AG88" i="93"/>
  <c r="AE89" i="93" s="1"/>
  <c r="AG88" i="92"/>
  <c r="AE89" i="92" s="1"/>
  <c r="BF37" i="92"/>
  <c r="BD38" i="92" s="1"/>
  <c r="BF38" i="89"/>
  <c r="BD39" i="89"/>
  <c r="AG88" i="89"/>
  <c r="AE89" i="89" s="1"/>
  <c r="CB18" i="88"/>
  <c r="BZ19" i="88"/>
  <c r="Q75" i="88"/>
  <c r="P77" i="88"/>
  <c r="V188" i="116" l="1"/>
  <c r="S189" i="116"/>
  <c r="V189" i="116" s="1"/>
  <c r="AC189" i="116" s="1"/>
  <c r="O36" i="115"/>
  <c r="BR5" i="115" s="1"/>
  <c r="AN10" i="115"/>
  <c r="AG94" i="113"/>
  <c r="AE95" i="113" s="1"/>
  <c r="BF43" i="113"/>
  <c r="BD44" i="113" s="1"/>
  <c r="DR43" i="112"/>
  <c r="DP44" i="112" s="1"/>
  <c r="AG93" i="112"/>
  <c r="AE94" i="112" s="1"/>
  <c r="DR39" i="107"/>
  <c r="DP40" i="107" s="1"/>
  <c r="AG89" i="107"/>
  <c r="AE90" i="107" s="1"/>
  <c r="DR38" i="106"/>
  <c r="DP39" i="106" s="1"/>
  <c r="AG89" i="106"/>
  <c r="AE90" i="106" s="1"/>
  <c r="DR38" i="105"/>
  <c r="DP39" i="105" s="1"/>
  <c r="AG89" i="105"/>
  <c r="AE90" i="105" s="1"/>
  <c r="AG88" i="104"/>
  <c r="AE89" i="104"/>
  <c r="CL39" i="104"/>
  <c r="CJ40" i="104" s="1"/>
  <c r="AG88" i="102"/>
  <c r="AE89" i="102"/>
  <c r="CL38" i="102"/>
  <c r="CJ39" i="102" s="1"/>
  <c r="CL38" i="101"/>
  <c r="CJ39" i="101" s="1"/>
  <c r="AG89" i="101"/>
  <c r="AE90" i="101"/>
  <c r="CL38" i="100"/>
  <c r="CJ39" i="100" s="1"/>
  <c r="AG88" i="100"/>
  <c r="AE89" i="100" s="1"/>
  <c r="CL38" i="98"/>
  <c r="CJ39" i="98" s="1"/>
  <c r="AG90" i="98"/>
  <c r="AE91" i="98" s="1"/>
  <c r="BV38" i="97"/>
  <c r="BT39" i="97" s="1"/>
  <c r="AG89" i="97"/>
  <c r="AE90" i="97" s="1"/>
  <c r="BV38" i="96"/>
  <c r="BT39" i="96" s="1"/>
  <c r="AG89" i="96"/>
  <c r="AE90" i="96" s="1"/>
  <c r="BN39" i="95"/>
  <c r="BL40" i="95" s="1"/>
  <c r="AG89" i="95"/>
  <c r="AE90" i="95" s="1"/>
  <c r="BN38" i="94"/>
  <c r="BL39" i="94" s="1"/>
  <c r="AG88" i="94"/>
  <c r="AE89" i="94"/>
  <c r="AG89" i="93"/>
  <c r="AE90" i="93" s="1"/>
  <c r="BF38" i="93"/>
  <c r="BD39" i="93" s="1"/>
  <c r="BF38" i="92"/>
  <c r="BD39" i="92" s="1"/>
  <c r="AG89" i="92"/>
  <c r="AE90" i="92" s="1"/>
  <c r="AG89" i="89"/>
  <c r="AE90" i="89" s="1"/>
  <c r="BF39" i="89"/>
  <c r="BD40" i="89" s="1"/>
  <c r="CB19" i="88"/>
  <c r="BZ20" i="88"/>
  <c r="R75" i="88"/>
  <c r="Q77" i="88"/>
  <c r="AC188" i="116" l="1"/>
  <c r="AC206" i="116" s="1"/>
  <c r="AC207" i="116" s="1"/>
  <c r="AI207" i="116" s="1"/>
  <c r="AI209" i="116" s="1"/>
  <c r="AI211" i="116" s="1"/>
  <c r="AA114" i="116" s="1"/>
  <c r="V205" i="116"/>
  <c r="AK17" i="115"/>
  <c r="AK22" i="115" s="1"/>
  <c r="AN12" i="115"/>
  <c r="BF44" i="113"/>
  <c r="BD45" i="113" s="1"/>
  <c r="AG95" i="113"/>
  <c r="AE96" i="113" s="1"/>
  <c r="DR44" i="112"/>
  <c r="DP45" i="112" s="1"/>
  <c r="AG94" i="112"/>
  <c r="AE95" i="112" s="1"/>
  <c r="AG90" i="107"/>
  <c r="AE91" i="107"/>
  <c r="DR40" i="107"/>
  <c r="DP41" i="107" s="1"/>
  <c r="AG90" i="106"/>
  <c r="AE91" i="106"/>
  <c r="DR39" i="106"/>
  <c r="DP40" i="106" s="1"/>
  <c r="AG90" i="105"/>
  <c r="AE91" i="105" s="1"/>
  <c r="DR39" i="105"/>
  <c r="DP40" i="105" s="1"/>
  <c r="CL40" i="104"/>
  <c r="CJ41" i="104"/>
  <c r="AG89" i="104"/>
  <c r="AE90" i="104" s="1"/>
  <c r="AG89" i="102"/>
  <c r="AE90" i="102" s="1"/>
  <c r="CL39" i="102"/>
  <c r="CJ40" i="102"/>
  <c r="AG90" i="101"/>
  <c r="AE91" i="101" s="1"/>
  <c r="CL39" i="101"/>
  <c r="CJ40" i="101"/>
  <c r="AG89" i="100"/>
  <c r="AE90" i="100"/>
  <c r="CL39" i="100"/>
  <c r="CJ40" i="100" s="1"/>
  <c r="CL39" i="98"/>
  <c r="CJ40" i="98" s="1"/>
  <c r="AG91" i="98"/>
  <c r="AE92" i="98" s="1"/>
  <c r="AG90" i="97"/>
  <c r="AE91" i="97"/>
  <c r="BV39" i="97"/>
  <c r="BT40" i="97"/>
  <c r="AG90" i="96"/>
  <c r="AE91" i="96" s="1"/>
  <c r="BV39" i="96"/>
  <c r="BT40" i="96" s="1"/>
  <c r="BN40" i="95"/>
  <c r="BL41" i="95" s="1"/>
  <c r="AG90" i="95"/>
  <c r="AE91" i="95" s="1"/>
  <c r="BN39" i="94"/>
  <c r="BL40" i="94"/>
  <c r="AG89" i="94"/>
  <c r="AE90" i="94" s="1"/>
  <c r="BF39" i="93"/>
  <c r="BD40" i="93" s="1"/>
  <c r="AG90" i="93"/>
  <c r="AE91" i="93" s="1"/>
  <c r="BF39" i="92"/>
  <c r="BD40" i="92" s="1"/>
  <c r="AG90" i="92"/>
  <c r="AE91" i="92" s="1"/>
  <c r="BF40" i="89"/>
  <c r="BD41" i="89" s="1"/>
  <c r="AG90" i="89"/>
  <c r="AE91" i="89" s="1"/>
  <c r="CB20" i="88"/>
  <c r="BZ21" i="88" s="1"/>
  <c r="S75" i="88"/>
  <c r="R77" i="88"/>
  <c r="AK35" i="115" l="1"/>
  <c r="AK36" i="115" s="1"/>
  <c r="AN32" i="115"/>
  <c r="AG96" i="113"/>
  <c r="AE97" i="113" s="1"/>
  <c r="BF45" i="113"/>
  <c r="BD46" i="113" s="1"/>
  <c r="DR45" i="112"/>
  <c r="DP46" i="112" s="1"/>
  <c r="AE96" i="112"/>
  <c r="AG95" i="112"/>
  <c r="DR41" i="107"/>
  <c r="DP42" i="107"/>
  <c r="AG91" i="107"/>
  <c r="AE92" i="107" s="1"/>
  <c r="DR40" i="106"/>
  <c r="DP41" i="106" s="1"/>
  <c r="AG91" i="106"/>
  <c r="AE92" i="106" s="1"/>
  <c r="AG91" i="105"/>
  <c r="AE92" i="105" s="1"/>
  <c r="DR40" i="105"/>
  <c r="DP41" i="105" s="1"/>
  <c r="AG90" i="104"/>
  <c r="AE91" i="104"/>
  <c r="CL41" i="104"/>
  <c r="CJ42" i="104" s="1"/>
  <c r="AG90" i="102"/>
  <c r="AE91" i="102" s="1"/>
  <c r="CL40" i="102"/>
  <c r="CJ41" i="102" s="1"/>
  <c r="CL40" i="101"/>
  <c r="CJ41" i="101" s="1"/>
  <c r="AG91" i="101"/>
  <c r="AE92" i="101" s="1"/>
  <c r="CL40" i="100"/>
  <c r="CJ41" i="100"/>
  <c r="AG90" i="100"/>
  <c r="AE91" i="100"/>
  <c r="AG92" i="98"/>
  <c r="AE93" i="98" s="1"/>
  <c r="CL40" i="98"/>
  <c r="CJ41" i="98" s="1"/>
  <c r="AG91" i="97"/>
  <c r="AE92" i="97" s="1"/>
  <c r="BV40" i="97"/>
  <c r="BT41" i="97" s="1"/>
  <c r="AG91" i="96"/>
  <c r="AE92" i="96" s="1"/>
  <c r="BV40" i="96"/>
  <c r="BT41" i="96" s="1"/>
  <c r="AG91" i="95"/>
  <c r="AE92" i="95" s="1"/>
  <c r="BN41" i="95"/>
  <c r="BL42" i="95" s="1"/>
  <c r="AG90" i="94"/>
  <c r="AE91" i="94" s="1"/>
  <c r="BN40" i="94"/>
  <c r="BL41" i="94" s="1"/>
  <c r="AG91" i="93"/>
  <c r="AE92" i="93" s="1"/>
  <c r="BF40" i="93"/>
  <c r="BD41" i="93" s="1"/>
  <c r="BF40" i="92"/>
  <c r="BD41" i="92"/>
  <c r="AG91" i="92"/>
  <c r="AE92" i="92" s="1"/>
  <c r="BF41" i="89"/>
  <c r="BD42" i="89" s="1"/>
  <c r="AG91" i="89"/>
  <c r="AE92" i="89" s="1"/>
  <c r="T75" i="88"/>
  <c r="S77" i="88"/>
  <c r="CB21" i="88"/>
  <c r="BZ22" i="88" s="1"/>
  <c r="AP32" i="115" l="1"/>
  <c r="AN36" i="115"/>
  <c r="BF46" i="113"/>
  <c r="BD47" i="113" s="1"/>
  <c r="AG97" i="113"/>
  <c r="AE98" i="113" s="1"/>
  <c r="AG96" i="112"/>
  <c r="AE97" i="112" s="1"/>
  <c r="DR46" i="112"/>
  <c r="DP47" i="112" s="1"/>
  <c r="DB43" i="112"/>
  <c r="AG92" i="107"/>
  <c r="AE93" i="107"/>
  <c r="DR42" i="107"/>
  <c r="DP43" i="107" s="1"/>
  <c r="AG92" i="106"/>
  <c r="AE93" i="106" s="1"/>
  <c r="DR41" i="106"/>
  <c r="DP42" i="106" s="1"/>
  <c r="DR41" i="105"/>
  <c r="DP42" i="105" s="1"/>
  <c r="AG92" i="105"/>
  <c r="AE93" i="105"/>
  <c r="CL42" i="104"/>
  <c r="CJ43" i="104" s="1"/>
  <c r="AG91" i="104"/>
  <c r="AE92" i="104" s="1"/>
  <c r="CL41" i="102"/>
  <c r="CJ42" i="102" s="1"/>
  <c r="AG91" i="102"/>
  <c r="AE92" i="102" s="1"/>
  <c r="CL41" i="101"/>
  <c r="CJ42" i="101" s="1"/>
  <c r="AG92" i="101"/>
  <c r="AE93" i="101"/>
  <c r="AG91" i="100"/>
  <c r="AE92" i="100" s="1"/>
  <c r="CL41" i="100"/>
  <c r="CJ42" i="100" s="1"/>
  <c r="AG93" i="98"/>
  <c r="AE94" i="98" s="1"/>
  <c r="CL41" i="98"/>
  <c r="CJ42" i="98" s="1"/>
  <c r="AG92" i="97"/>
  <c r="AE93" i="97"/>
  <c r="BV41" i="97"/>
  <c r="BT42" i="97" s="1"/>
  <c r="BV41" i="96"/>
  <c r="BT42" i="96" s="1"/>
  <c r="AG92" i="96"/>
  <c r="AE93" i="96" s="1"/>
  <c r="AG92" i="95"/>
  <c r="AE93" i="95" s="1"/>
  <c r="BN42" i="95"/>
  <c r="BL43" i="95" s="1"/>
  <c r="BN41" i="94"/>
  <c r="BL42" i="94" s="1"/>
  <c r="AG91" i="94"/>
  <c r="AE92" i="94" s="1"/>
  <c r="AG92" i="93"/>
  <c r="AE93" i="93"/>
  <c r="BF41" i="93"/>
  <c r="BD42" i="93" s="1"/>
  <c r="AG92" i="92"/>
  <c r="AE93" i="92" s="1"/>
  <c r="BF41" i="92"/>
  <c r="BD42" i="92" s="1"/>
  <c r="BF42" i="89"/>
  <c r="BD43" i="89" s="1"/>
  <c r="AG92" i="89"/>
  <c r="AE93" i="89" s="1"/>
  <c r="CB22" i="88"/>
  <c r="BZ23" i="88"/>
  <c r="U75" i="88"/>
  <c r="T77" i="88"/>
  <c r="AG98" i="113" l="1"/>
  <c r="AE99" i="113"/>
  <c r="BF47" i="113"/>
  <c r="BD48" i="113" s="1"/>
  <c r="DR47" i="112"/>
  <c r="DP48" i="112"/>
  <c r="AG97" i="112"/>
  <c r="AE98" i="112" s="1"/>
  <c r="DR43" i="107"/>
  <c r="DP44" i="107" s="1"/>
  <c r="AG93" i="107"/>
  <c r="AE94" i="107" s="1"/>
  <c r="DR42" i="106"/>
  <c r="DP43" i="106" s="1"/>
  <c r="AG93" i="106"/>
  <c r="AE94" i="106" s="1"/>
  <c r="DR42" i="105"/>
  <c r="DP43" i="105" s="1"/>
  <c r="AG93" i="105"/>
  <c r="AE94" i="105" s="1"/>
  <c r="AG92" i="104"/>
  <c r="AE93" i="104" s="1"/>
  <c r="CL43" i="104"/>
  <c r="CJ44" i="104" s="1"/>
  <c r="AG92" i="102"/>
  <c r="AE93" i="102"/>
  <c r="CL42" i="102"/>
  <c r="CJ43" i="102" s="1"/>
  <c r="CL42" i="101"/>
  <c r="CJ43" i="101" s="1"/>
  <c r="AG93" i="101"/>
  <c r="AE94" i="101" s="1"/>
  <c r="CL42" i="100"/>
  <c r="CJ43" i="100" s="1"/>
  <c r="AG92" i="100"/>
  <c r="AE93" i="100" s="1"/>
  <c r="AG94" i="98"/>
  <c r="AE95" i="98"/>
  <c r="CL42" i="98"/>
  <c r="CJ43" i="98"/>
  <c r="BV42" i="97"/>
  <c r="BT43" i="97" s="1"/>
  <c r="AG93" i="97"/>
  <c r="AE94" i="97" s="1"/>
  <c r="AG93" i="96"/>
  <c r="AE94" i="96" s="1"/>
  <c r="BV42" i="96"/>
  <c r="BT43" i="96" s="1"/>
  <c r="BN43" i="95"/>
  <c r="BL44" i="95" s="1"/>
  <c r="AG93" i="95"/>
  <c r="AE94" i="95" s="1"/>
  <c r="AG92" i="94"/>
  <c r="AE93" i="94" s="1"/>
  <c r="BN42" i="94"/>
  <c r="BL43" i="94" s="1"/>
  <c r="BF42" i="93"/>
  <c r="BD43" i="93" s="1"/>
  <c r="AG93" i="93"/>
  <c r="AE94" i="93" s="1"/>
  <c r="AG93" i="92"/>
  <c r="AE94" i="92" s="1"/>
  <c r="BF42" i="92"/>
  <c r="BD43" i="92" s="1"/>
  <c r="BF43" i="89"/>
  <c r="BD44" i="89" s="1"/>
  <c r="AG93" i="89"/>
  <c r="AE94" i="89" s="1"/>
  <c r="CB23" i="88"/>
  <c r="BZ24" i="88"/>
  <c r="V75" i="88"/>
  <c r="U77" i="88"/>
  <c r="BF48" i="113" l="1"/>
  <c r="BD49" i="113"/>
  <c r="AG99" i="113"/>
  <c r="AE100" i="113" s="1"/>
  <c r="AG98" i="112"/>
  <c r="AE99" i="112"/>
  <c r="DR48" i="112"/>
  <c r="DP49" i="112" s="1"/>
  <c r="AG94" i="107"/>
  <c r="AE95" i="107" s="1"/>
  <c r="DR44" i="107"/>
  <c r="DP45" i="107"/>
  <c r="AG94" i="106"/>
  <c r="AE95" i="106"/>
  <c r="DR43" i="106"/>
  <c r="DP44" i="106" s="1"/>
  <c r="AG94" i="105"/>
  <c r="AE95" i="105" s="1"/>
  <c r="DR43" i="105"/>
  <c r="DP44" i="105" s="1"/>
  <c r="CL44" i="104"/>
  <c r="CJ45" i="104" s="1"/>
  <c r="AG93" i="104"/>
  <c r="AE94" i="104" s="1"/>
  <c r="CL43" i="102"/>
  <c r="CJ44" i="102"/>
  <c r="AG93" i="102"/>
  <c r="AE94" i="102" s="1"/>
  <c r="AG94" i="101"/>
  <c r="AE95" i="101" s="1"/>
  <c r="CL43" i="101"/>
  <c r="CJ44" i="101"/>
  <c r="AG93" i="100"/>
  <c r="AE94" i="100" s="1"/>
  <c r="CL43" i="100"/>
  <c r="CJ44" i="100" s="1"/>
  <c r="AG95" i="98"/>
  <c r="AE96" i="98" s="1"/>
  <c r="CL43" i="98"/>
  <c r="CJ44" i="98" s="1"/>
  <c r="BV43" i="97"/>
  <c r="BT44" i="97" s="1"/>
  <c r="AG94" i="97"/>
  <c r="AE95" i="97"/>
  <c r="BV43" i="96"/>
  <c r="BT44" i="96" s="1"/>
  <c r="AG94" i="96"/>
  <c r="AE95" i="96" s="1"/>
  <c r="BN44" i="95"/>
  <c r="BL45" i="95" s="1"/>
  <c r="AG94" i="95"/>
  <c r="AE95" i="95" s="1"/>
  <c r="BN43" i="94"/>
  <c r="BL44" i="94" s="1"/>
  <c r="AG93" i="94"/>
  <c r="AE94" i="94" s="1"/>
  <c r="AG94" i="93"/>
  <c r="AE95" i="93" s="1"/>
  <c r="BF43" i="93"/>
  <c r="BD44" i="93" s="1"/>
  <c r="BF43" i="92"/>
  <c r="BD44" i="92" s="1"/>
  <c r="AG94" i="92"/>
  <c r="AE95" i="92" s="1"/>
  <c r="AG94" i="89"/>
  <c r="AE95" i="89" s="1"/>
  <c r="BF44" i="89"/>
  <c r="BD45" i="89" s="1"/>
  <c r="W75" i="88"/>
  <c r="V77" i="88"/>
  <c r="CB24" i="88"/>
  <c r="BZ25" i="88" s="1"/>
  <c r="AG100" i="113" l="1"/>
  <c r="AE101" i="113"/>
  <c r="BF49" i="113"/>
  <c r="BD50" i="113"/>
  <c r="DR49" i="112"/>
  <c r="DP50" i="112"/>
  <c r="AG99" i="112"/>
  <c r="AE100" i="112" s="1"/>
  <c r="DR45" i="107"/>
  <c r="DP46" i="107" s="1"/>
  <c r="DB43" i="107" s="1"/>
  <c r="AG95" i="107"/>
  <c r="AE96" i="107" s="1"/>
  <c r="DR44" i="106"/>
  <c r="DP45" i="106"/>
  <c r="AG95" i="106"/>
  <c r="AE96" i="106" s="1"/>
  <c r="AG95" i="105"/>
  <c r="AE96" i="105" s="1"/>
  <c r="DR44" i="105"/>
  <c r="DP45" i="105" s="1"/>
  <c r="AG94" i="104"/>
  <c r="AE95" i="104" s="1"/>
  <c r="CL45" i="104"/>
  <c r="CJ46" i="104"/>
  <c r="AG94" i="102"/>
  <c r="AE95" i="102"/>
  <c r="CL44" i="102"/>
  <c r="CJ45" i="102"/>
  <c r="AG95" i="101"/>
  <c r="AE96" i="101" s="1"/>
  <c r="CL44" i="101"/>
  <c r="CJ45" i="101" s="1"/>
  <c r="AG94" i="100"/>
  <c r="AE95" i="100" s="1"/>
  <c r="CL44" i="100"/>
  <c r="CJ45" i="100" s="1"/>
  <c r="AG96" i="98"/>
  <c r="AE97" i="98" s="1"/>
  <c r="CL44" i="98"/>
  <c r="CJ45" i="98"/>
  <c r="BV44" i="97"/>
  <c r="BT45" i="97" s="1"/>
  <c r="AG95" i="97"/>
  <c r="AE96" i="97" s="1"/>
  <c r="BV44" i="96"/>
  <c r="BT45" i="96" s="1"/>
  <c r="AG95" i="96"/>
  <c r="AE96" i="96" s="1"/>
  <c r="AG95" i="95"/>
  <c r="AE96" i="95" s="1"/>
  <c r="BN45" i="95"/>
  <c r="BL46" i="95"/>
  <c r="BN44" i="94"/>
  <c r="BL45" i="94" s="1"/>
  <c r="AG94" i="94"/>
  <c r="AE95" i="94"/>
  <c r="BF44" i="93"/>
  <c r="BD45" i="93" s="1"/>
  <c r="AG95" i="93"/>
  <c r="AE96" i="93" s="1"/>
  <c r="AG95" i="92"/>
  <c r="AE96" i="92" s="1"/>
  <c r="BF44" i="92"/>
  <c r="BD45" i="92" s="1"/>
  <c r="BF45" i="89"/>
  <c r="BD46" i="89" s="1"/>
  <c r="AG95" i="89"/>
  <c r="AE96" i="89" s="1"/>
  <c r="CB25" i="88"/>
  <c r="BZ26" i="88" s="1"/>
  <c r="X75" i="88"/>
  <c r="W77" i="88"/>
  <c r="BF50" i="113" l="1"/>
  <c r="BD51" i="113"/>
  <c r="AG101" i="113"/>
  <c r="AE102" i="113" s="1"/>
  <c r="AG100" i="112"/>
  <c r="AE101" i="112"/>
  <c r="DR50" i="112"/>
  <c r="DP51" i="112" s="1"/>
  <c r="AG96" i="107"/>
  <c r="AE97" i="107" s="1"/>
  <c r="DR46" i="107"/>
  <c r="DP47" i="107"/>
  <c r="AG96" i="106"/>
  <c r="AE97" i="106"/>
  <c r="DR45" i="106"/>
  <c r="DP46" i="106"/>
  <c r="AG96" i="105"/>
  <c r="AE97" i="105" s="1"/>
  <c r="DR45" i="105"/>
  <c r="DP46" i="105"/>
  <c r="CL46" i="104"/>
  <c r="CJ47" i="104" s="1"/>
  <c r="AG95" i="104"/>
  <c r="AE96" i="104" s="1"/>
  <c r="CL45" i="102"/>
  <c r="CJ46" i="102" s="1"/>
  <c r="AG95" i="102"/>
  <c r="AE96" i="102" s="1"/>
  <c r="AG96" i="101"/>
  <c r="AE97" i="101" s="1"/>
  <c r="CL45" i="101"/>
  <c r="CJ46" i="101" s="1"/>
  <c r="CL45" i="100"/>
  <c r="CJ46" i="100" s="1"/>
  <c r="AG95" i="100"/>
  <c r="AE96" i="100" s="1"/>
  <c r="AG97" i="98"/>
  <c r="AE98" i="98" s="1"/>
  <c r="CL45" i="98"/>
  <c r="CJ46" i="98" s="1"/>
  <c r="AG96" i="97"/>
  <c r="AE97" i="97" s="1"/>
  <c r="BV45" i="97"/>
  <c r="BT46" i="97" s="1"/>
  <c r="BV45" i="96"/>
  <c r="BT46" i="96" s="1"/>
  <c r="AG96" i="96"/>
  <c r="AE97" i="96" s="1"/>
  <c r="AG96" i="95"/>
  <c r="AE97" i="95" s="1"/>
  <c r="BN46" i="95"/>
  <c r="BL47" i="95" s="1"/>
  <c r="BN45" i="94"/>
  <c r="BL46" i="94" s="1"/>
  <c r="AG95" i="94"/>
  <c r="AE96" i="94" s="1"/>
  <c r="AG96" i="93"/>
  <c r="AE97" i="93" s="1"/>
  <c r="BF45" i="93"/>
  <c r="BD46" i="93" s="1"/>
  <c r="BF45" i="92"/>
  <c r="BD46" i="92" s="1"/>
  <c r="AG96" i="92"/>
  <c r="AE97" i="92" s="1"/>
  <c r="BF46" i="89"/>
  <c r="BD47" i="89" s="1"/>
  <c r="AG96" i="89"/>
  <c r="AE97" i="89" s="1"/>
  <c r="CB26" i="88"/>
  <c r="BZ27" i="88" s="1"/>
  <c r="Y75" i="88"/>
  <c r="X77" i="88"/>
  <c r="AG102" i="113" l="1"/>
  <c r="AE103" i="113"/>
  <c r="BF51" i="113"/>
  <c r="BD52" i="113"/>
  <c r="DR51" i="112"/>
  <c r="DP52" i="112"/>
  <c r="AG101" i="112"/>
  <c r="AE102" i="112" s="1"/>
  <c r="AG97" i="107"/>
  <c r="AE98" i="107" s="1"/>
  <c r="DR47" i="107"/>
  <c r="DP48" i="107" s="1"/>
  <c r="DR46" i="106"/>
  <c r="DP47" i="106"/>
  <c r="AG97" i="106"/>
  <c r="AE98" i="106" s="1"/>
  <c r="AG97" i="105"/>
  <c r="AE98" i="105" s="1"/>
  <c r="DR46" i="105"/>
  <c r="DP47" i="105" s="1"/>
  <c r="AG96" i="104"/>
  <c r="AE97" i="104" s="1"/>
  <c r="CL47" i="104"/>
  <c r="CJ48" i="104" s="1"/>
  <c r="AG96" i="102"/>
  <c r="AE97" i="102"/>
  <c r="CL46" i="102"/>
  <c r="CJ47" i="102" s="1"/>
  <c r="CL46" i="101"/>
  <c r="CJ47" i="101" s="1"/>
  <c r="AG97" i="101"/>
  <c r="AE98" i="101"/>
  <c r="AG96" i="100"/>
  <c r="AE97" i="100"/>
  <c r="CL46" i="100"/>
  <c r="CJ47" i="100" s="1"/>
  <c r="AG98" i="98"/>
  <c r="AE99" i="98"/>
  <c r="CL46" i="98"/>
  <c r="CJ47" i="98" s="1"/>
  <c r="BV46" i="97"/>
  <c r="BT47" i="97"/>
  <c r="AG97" i="97"/>
  <c r="AE98" i="97" s="1"/>
  <c r="BV46" i="96"/>
  <c r="BT47" i="96" s="1"/>
  <c r="AE98" i="96"/>
  <c r="AG97" i="96"/>
  <c r="BN47" i="95"/>
  <c r="BL48" i="95"/>
  <c r="AG97" i="95"/>
  <c r="AE98" i="95" s="1"/>
  <c r="AG96" i="94"/>
  <c r="AE97" i="94" s="1"/>
  <c r="BN46" i="94"/>
  <c r="BL47" i="94"/>
  <c r="BF46" i="93"/>
  <c r="BD47" i="93" s="1"/>
  <c r="AG97" i="93"/>
  <c r="AE98" i="93" s="1"/>
  <c r="BF46" i="92"/>
  <c r="BD47" i="92" s="1"/>
  <c r="AG97" i="92"/>
  <c r="AE98" i="92" s="1"/>
  <c r="BF47" i="89"/>
  <c r="BD48" i="89" s="1"/>
  <c r="AG97" i="89"/>
  <c r="AE98" i="89" s="1"/>
  <c r="Z75" i="88"/>
  <c r="Y77" i="88"/>
  <c r="CB27" i="88"/>
  <c r="BZ28" i="88" s="1"/>
  <c r="BF52" i="113" l="1"/>
  <c r="BD53" i="113" s="1"/>
  <c r="AG103" i="113"/>
  <c r="AE104" i="113" s="1"/>
  <c r="AG102" i="112"/>
  <c r="AE103" i="112"/>
  <c r="DR52" i="112"/>
  <c r="DP53" i="112" s="1"/>
  <c r="DR48" i="107"/>
  <c r="DP49" i="107"/>
  <c r="AG98" i="107"/>
  <c r="AE99" i="107"/>
  <c r="DR47" i="106"/>
  <c r="DP48" i="106" s="1"/>
  <c r="AG98" i="106"/>
  <c r="AE99" i="106" s="1"/>
  <c r="AG98" i="105"/>
  <c r="AE99" i="105"/>
  <c r="DR47" i="105"/>
  <c r="DP48" i="105" s="1"/>
  <c r="CL48" i="104"/>
  <c r="CJ49" i="104" s="1"/>
  <c r="AG97" i="104"/>
  <c r="AE98" i="104" s="1"/>
  <c r="AG97" i="102"/>
  <c r="AE98" i="102" s="1"/>
  <c r="CL47" i="102"/>
  <c r="CJ48" i="102" s="1"/>
  <c r="AG98" i="101"/>
  <c r="AE99" i="101"/>
  <c r="CL47" i="101"/>
  <c r="CJ48" i="101" s="1"/>
  <c r="CL47" i="100"/>
  <c r="CJ48" i="100" s="1"/>
  <c r="AG97" i="100"/>
  <c r="AE98" i="100" s="1"/>
  <c r="CL47" i="98"/>
  <c r="CJ48" i="98" s="1"/>
  <c r="AG99" i="98"/>
  <c r="AE100" i="98"/>
  <c r="AG98" i="97"/>
  <c r="AE99" i="97" s="1"/>
  <c r="BV47" i="97"/>
  <c r="BT48" i="97" s="1"/>
  <c r="BV47" i="96"/>
  <c r="BT48" i="96" s="1"/>
  <c r="AG98" i="96"/>
  <c r="AE99" i="96" s="1"/>
  <c r="AG98" i="95"/>
  <c r="AE99" i="95" s="1"/>
  <c r="BN48" i="95"/>
  <c r="BL49" i="95"/>
  <c r="BN47" i="94"/>
  <c r="BL48" i="94" s="1"/>
  <c r="AG97" i="94"/>
  <c r="AE98" i="94" s="1"/>
  <c r="AG98" i="93"/>
  <c r="AE99" i="93" s="1"/>
  <c r="BF47" i="93"/>
  <c r="BD48" i="93" s="1"/>
  <c r="BF47" i="92"/>
  <c r="BD48" i="92" s="1"/>
  <c r="AG98" i="92"/>
  <c r="AE99" i="92" s="1"/>
  <c r="AG98" i="89"/>
  <c r="AE99" i="89" s="1"/>
  <c r="BF48" i="89"/>
  <c r="BD49" i="89" s="1"/>
  <c r="CB28" i="88"/>
  <c r="BZ29" i="88" s="1"/>
  <c r="AA75" i="88"/>
  <c r="Z77" i="88"/>
  <c r="AG104" i="113" l="1"/>
  <c r="AE105" i="113"/>
  <c r="BF53" i="113"/>
  <c r="BD54" i="113" s="1"/>
  <c r="DR53" i="112"/>
  <c r="DP54" i="112" s="1"/>
  <c r="AG103" i="112"/>
  <c r="AE104" i="112" s="1"/>
  <c r="DR49" i="107"/>
  <c r="DP50" i="107"/>
  <c r="AG99" i="107"/>
  <c r="AE100" i="107" s="1"/>
  <c r="DR48" i="106"/>
  <c r="DP49" i="106"/>
  <c r="AG99" i="106"/>
  <c r="AE100" i="106" s="1"/>
  <c r="DR48" i="105"/>
  <c r="DP49" i="105"/>
  <c r="AG99" i="105"/>
  <c r="AE100" i="105" s="1"/>
  <c r="CL49" i="104"/>
  <c r="CJ50" i="104"/>
  <c r="AG98" i="104"/>
  <c r="AE99" i="104"/>
  <c r="AG98" i="102"/>
  <c r="AE99" i="102" s="1"/>
  <c r="CL48" i="102"/>
  <c r="CJ49" i="102"/>
  <c r="CL48" i="101"/>
  <c r="CJ49" i="101" s="1"/>
  <c r="AG99" i="101"/>
  <c r="AE100" i="101" s="1"/>
  <c r="CL48" i="100"/>
  <c r="CJ49" i="100" s="1"/>
  <c r="AG98" i="100"/>
  <c r="AE99" i="100" s="1"/>
  <c r="CL48" i="98"/>
  <c r="CJ49" i="98" s="1"/>
  <c r="AG100" i="98"/>
  <c r="AE101" i="98" s="1"/>
  <c r="BV48" i="97"/>
  <c r="BT49" i="97" s="1"/>
  <c r="AG99" i="97"/>
  <c r="AE100" i="97" s="1"/>
  <c r="AG99" i="96"/>
  <c r="AE100" i="96"/>
  <c r="BV48" i="96"/>
  <c r="BT49" i="96" s="1"/>
  <c r="BN49" i="95"/>
  <c r="BL50" i="95"/>
  <c r="AG99" i="95"/>
  <c r="AE100" i="95" s="1"/>
  <c r="AG98" i="94"/>
  <c r="AE99" i="94" s="1"/>
  <c r="BN48" i="94"/>
  <c r="BL49" i="94" s="1"/>
  <c r="BF48" i="93"/>
  <c r="BD49" i="93"/>
  <c r="AG99" i="93"/>
  <c r="AE100" i="93" s="1"/>
  <c r="BF48" i="92"/>
  <c r="BD49" i="92" s="1"/>
  <c r="AG99" i="92"/>
  <c r="AE100" i="92" s="1"/>
  <c r="BF49" i="89"/>
  <c r="BD50" i="89" s="1"/>
  <c r="AG99" i="89"/>
  <c r="AE100" i="89" s="1"/>
  <c r="CB29" i="88"/>
  <c r="BZ30" i="88" s="1"/>
  <c r="AB75" i="88"/>
  <c r="AA77" i="88"/>
  <c r="BF54" i="113" l="1"/>
  <c r="BD55" i="113" s="1"/>
  <c r="BF55" i="113" s="1"/>
  <c r="AG105" i="113"/>
  <c r="AE106" i="113" s="1"/>
  <c r="AG106" i="113" s="1"/>
  <c r="AG104" i="112"/>
  <c r="AE105" i="112"/>
  <c r="DR54" i="112"/>
  <c r="DP55" i="112" s="1"/>
  <c r="DR55" i="112" s="1"/>
  <c r="AG100" i="107"/>
  <c r="AE101" i="107"/>
  <c r="DR50" i="107"/>
  <c r="DP51" i="107"/>
  <c r="AG100" i="106"/>
  <c r="AE101" i="106" s="1"/>
  <c r="DR49" i="106"/>
  <c r="DP50" i="106" s="1"/>
  <c r="AG100" i="105"/>
  <c r="AE101" i="105" s="1"/>
  <c r="DR49" i="105"/>
  <c r="DP50" i="105" s="1"/>
  <c r="AG99" i="104"/>
  <c r="AE100" i="104" s="1"/>
  <c r="CL50" i="104"/>
  <c r="CJ51" i="104" s="1"/>
  <c r="AG99" i="102"/>
  <c r="AE100" i="102" s="1"/>
  <c r="CL49" i="102"/>
  <c r="CJ50" i="102" s="1"/>
  <c r="AG100" i="101"/>
  <c r="AE101" i="101"/>
  <c r="CL49" i="101"/>
  <c r="CJ50" i="101" s="1"/>
  <c r="CL49" i="100"/>
  <c r="CJ50" i="100" s="1"/>
  <c r="AG99" i="100"/>
  <c r="AE100" i="100" s="1"/>
  <c r="AG101" i="98"/>
  <c r="AE102" i="98"/>
  <c r="CL49" i="98"/>
  <c r="CJ50" i="98" s="1"/>
  <c r="AG100" i="97"/>
  <c r="AE101" i="97" s="1"/>
  <c r="BV49" i="97"/>
  <c r="BT50" i="97" s="1"/>
  <c r="BV49" i="96"/>
  <c r="BT50" i="96" s="1"/>
  <c r="AG100" i="96"/>
  <c r="AE101" i="96" s="1"/>
  <c r="AG100" i="95"/>
  <c r="AE101" i="95" s="1"/>
  <c r="BN50" i="95"/>
  <c r="BL51" i="95" s="1"/>
  <c r="BN49" i="94"/>
  <c r="BL50" i="94" s="1"/>
  <c r="AG99" i="94"/>
  <c r="AE100" i="94"/>
  <c r="AG100" i="93"/>
  <c r="AE101" i="93" s="1"/>
  <c r="BF49" i="93"/>
  <c r="BD50" i="93" s="1"/>
  <c r="AG100" i="92"/>
  <c r="AE101" i="92" s="1"/>
  <c r="BF49" i="92"/>
  <c r="BD50" i="92"/>
  <c r="BF50" i="89"/>
  <c r="BD51" i="89"/>
  <c r="AG100" i="89"/>
  <c r="AE101" i="89" s="1"/>
  <c r="CB30" i="88"/>
  <c r="BZ31" i="88"/>
  <c r="AC75" i="88"/>
  <c r="AB77" i="88"/>
  <c r="AG105" i="112" l="1"/>
  <c r="AE106" i="112" s="1"/>
  <c r="AG106" i="112" s="1"/>
  <c r="AG101" i="107"/>
  <c r="AE102" i="107" s="1"/>
  <c r="DR51" i="107"/>
  <c r="DP52" i="107"/>
  <c r="AG101" i="106"/>
  <c r="AE102" i="106" s="1"/>
  <c r="DR50" i="106"/>
  <c r="DP51" i="106"/>
  <c r="DR50" i="105"/>
  <c r="DP51" i="105"/>
  <c r="AG101" i="105"/>
  <c r="AE102" i="105" s="1"/>
  <c r="CL51" i="104"/>
  <c r="CJ52" i="104" s="1"/>
  <c r="AG100" i="104"/>
  <c r="AE101" i="104" s="1"/>
  <c r="CL50" i="102"/>
  <c r="CJ51" i="102"/>
  <c r="AG100" i="102"/>
  <c r="AE101" i="102" s="1"/>
  <c r="CL50" i="101"/>
  <c r="CJ51" i="101" s="1"/>
  <c r="AG101" i="101"/>
  <c r="AE102" i="101"/>
  <c r="CL50" i="100"/>
  <c r="CJ51" i="100"/>
  <c r="AG100" i="100"/>
  <c r="AE101" i="100" s="1"/>
  <c r="CL50" i="98"/>
  <c r="CJ51" i="98" s="1"/>
  <c r="AG102" i="98"/>
  <c r="AE103" i="98" s="1"/>
  <c r="BV50" i="97"/>
  <c r="BT51" i="97"/>
  <c r="AG101" i="97"/>
  <c r="AE102" i="97" s="1"/>
  <c r="AG101" i="96"/>
  <c r="AE102" i="96" s="1"/>
  <c r="BV50" i="96"/>
  <c r="BT51" i="96"/>
  <c r="AG101" i="95"/>
  <c r="AE102" i="95" s="1"/>
  <c r="BN51" i="95"/>
  <c r="BL52" i="95"/>
  <c r="AG100" i="94"/>
  <c r="AE101" i="94" s="1"/>
  <c r="BN50" i="94"/>
  <c r="BL51" i="94" s="1"/>
  <c r="BF50" i="93"/>
  <c r="BD51" i="93"/>
  <c r="AG101" i="93"/>
  <c r="AE102" i="93" s="1"/>
  <c r="AG101" i="92"/>
  <c r="AE102" i="92"/>
  <c r="BF50" i="92"/>
  <c r="BD51" i="92" s="1"/>
  <c r="AG101" i="89"/>
  <c r="AE102" i="89" s="1"/>
  <c r="BF51" i="89"/>
  <c r="BD52" i="89" s="1"/>
  <c r="AD75" i="88"/>
  <c r="AC77" i="88"/>
  <c r="CB31" i="88"/>
  <c r="BZ32" i="88" s="1"/>
  <c r="AG102" i="107" l="1"/>
  <c r="AE103" i="107" s="1"/>
  <c r="DR52" i="107"/>
  <c r="DP53" i="107" s="1"/>
  <c r="AG102" i="106"/>
  <c r="AE103" i="106"/>
  <c r="DR51" i="106"/>
  <c r="DP52" i="106" s="1"/>
  <c r="AG102" i="105"/>
  <c r="AE103" i="105"/>
  <c r="DR51" i="105"/>
  <c r="DP52" i="105" s="1"/>
  <c r="AG101" i="104"/>
  <c r="AE102" i="104" s="1"/>
  <c r="CL52" i="104"/>
  <c r="CJ53" i="104"/>
  <c r="AG101" i="102"/>
  <c r="AE102" i="102" s="1"/>
  <c r="CL51" i="102"/>
  <c r="CJ52" i="102" s="1"/>
  <c r="CL51" i="101"/>
  <c r="CJ52" i="101" s="1"/>
  <c r="AG102" i="101"/>
  <c r="AE103" i="101" s="1"/>
  <c r="AG101" i="100"/>
  <c r="AE102" i="100" s="1"/>
  <c r="CL51" i="100"/>
  <c r="CJ52" i="100"/>
  <c r="CL51" i="98"/>
  <c r="CJ52" i="98" s="1"/>
  <c r="AG103" i="98"/>
  <c r="AE104" i="98" s="1"/>
  <c r="AG102" i="97"/>
  <c r="AE103" i="97"/>
  <c r="BV51" i="97"/>
  <c r="BT52" i="97" s="1"/>
  <c r="AG102" i="96"/>
  <c r="AE103" i="96" s="1"/>
  <c r="BV51" i="96"/>
  <c r="BT52" i="96" s="1"/>
  <c r="BN52" i="95"/>
  <c r="BL53" i="95" s="1"/>
  <c r="AG102" i="95"/>
  <c r="AE103" i="95" s="1"/>
  <c r="BN51" i="94"/>
  <c r="BL52" i="94" s="1"/>
  <c r="AG101" i="94"/>
  <c r="AE102" i="94" s="1"/>
  <c r="AG102" i="93"/>
  <c r="AE103" i="93" s="1"/>
  <c r="BF51" i="93"/>
  <c r="BD52" i="93" s="1"/>
  <c r="BF51" i="92"/>
  <c r="BD52" i="92"/>
  <c r="AG102" i="92"/>
  <c r="AE103" i="92" s="1"/>
  <c r="BF52" i="89"/>
  <c r="BD53" i="89" s="1"/>
  <c r="AG102" i="89"/>
  <c r="AE103" i="89" s="1"/>
  <c r="CB32" i="88"/>
  <c r="BZ33" i="88" s="1"/>
  <c r="AE75" i="88"/>
  <c r="AD77" i="88"/>
  <c r="DR53" i="107" l="1"/>
  <c r="DP54" i="107" s="1"/>
  <c r="AG103" i="107"/>
  <c r="AE104" i="107" s="1"/>
  <c r="AG103" i="106"/>
  <c r="AE104" i="106" s="1"/>
  <c r="DR52" i="106"/>
  <c r="DP53" i="106" s="1"/>
  <c r="AG103" i="105"/>
  <c r="AE104" i="105" s="1"/>
  <c r="DR52" i="105"/>
  <c r="DP53" i="105" s="1"/>
  <c r="AG102" i="104"/>
  <c r="AE103" i="104" s="1"/>
  <c r="CL53" i="104"/>
  <c r="CJ54" i="104" s="1"/>
  <c r="AG102" i="102"/>
  <c r="AE103" i="102" s="1"/>
  <c r="CL52" i="102"/>
  <c r="CJ53" i="102" s="1"/>
  <c r="CL52" i="101"/>
  <c r="CJ53" i="101" s="1"/>
  <c r="AG103" i="101"/>
  <c r="AE104" i="101"/>
  <c r="AG102" i="100"/>
  <c r="AE103" i="100" s="1"/>
  <c r="CL52" i="100"/>
  <c r="CJ53" i="100" s="1"/>
  <c r="CL52" i="98"/>
  <c r="CJ53" i="98" s="1"/>
  <c r="AG104" i="98"/>
  <c r="AE105" i="98"/>
  <c r="BV52" i="97"/>
  <c r="BT53" i="97" s="1"/>
  <c r="AG103" i="97"/>
  <c r="AE104" i="97" s="1"/>
  <c r="BV52" i="96"/>
  <c r="BT53" i="96" s="1"/>
  <c r="AG103" i="96"/>
  <c r="AE104" i="96"/>
  <c r="AG103" i="95"/>
  <c r="AE104" i="95" s="1"/>
  <c r="BN53" i="95"/>
  <c r="BL54" i="95"/>
  <c r="AG102" i="94"/>
  <c r="AE103" i="94" s="1"/>
  <c r="BN52" i="94"/>
  <c r="BL53" i="94" s="1"/>
  <c r="BF52" i="93"/>
  <c r="BD53" i="93"/>
  <c r="AG103" i="93"/>
  <c r="AE104" i="93" s="1"/>
  <c r="AG103" i="92"/>
  <c r="AE104" i="92" s="1"/>
  <c r="BF52" i="92"/>
  <c r="BD53" i="92" s="1"/>
  <c r="BF53" i="89"/>
  <c r="BD54" i="89" s="1"/>
  <c r="AG103" i="89"/>
  <c r="AE104" i="89"/>
  <c r="CB33" i="88"/>
  <c r="BZ34" i="88" s="1"/>
  <c r="AF75" i="88"/>
  <c r="AE77" i="88"/>
  <c r="AG104" i="107" l="1"/>
  <c r="AE105" i="107"/>
  <c r="DR54" i="107"/>
  <c r="DP55" i="107" s="1"/>
  <c r="DR55" i="107" s="1"/>
  <c r="AG104" i="106"/>
  <c r="AE105" i="106"/>
  <c r="DR53" i="106"/>
  <c r="DP54" i="106" s="1"/>
  <c r="DR53" i="105"/>
  <c r="DP54" i="105" s="1"/>
  <c r="AG104" i="105"/>
  <c r="AE105" i="105" s="1"/>
  <c r="CL54" i="104"/>
  <c r="CJ55" i="104" s="1"/>
  <c r="CL55" i="104" s="1"/>
  <c r="AG103" i="104"/>
  <c r="AE104" i="104" s="1"/>
  <c r="AG103" i="102"/>
  <c r="AE104" i="102" s="1"/>
  <c r="CL53" i="102"/>
  <c r="CJ54" i="102"/>
  <c r="CL53" i="101"/>
  <c r="CJ54" i="101" s="1"/>
  <c r="AG104" i="101"/>
  <c r="AE105" i="101" s="1"/>
  <c r="AG103" i="100"/>
  <c r="AE104" i="100" s="1"/>
  <c r="CL53" i="100"/>
  <c r="CJ54" i="100" s="1"/>
  <c r="CL53" i="98"/>
  <c r="CJ54" i="98"/>
  <c r="AG105" i="98"/>
  <c r="AE106" i="98" s="1"/>
  <c r="AG106" i="98" s="1"/>
  <c r="AG104" i="97"/>
  <c r="AE105" i="97"/>
  <c r="BV53" i="97"/>
  <c r="BT54" i="97" s="1"/>
  <c r="BV53" i="96"/>
  <c r="BT54" i="96" s="1"/>
  <c r="AG104" i="96"/>
  <c r="AE105" i="96" s="1"/>
  <c r="AG104" i="95"/>
  <c r="AE105" i="95" s="1"/>
  <c r="BN54" i="95"/>
  <c r="BL55" i="95" s="1"/>
  <c r="BN55" i="95" s="1"/>
  <c r="BN53" i="94"/>
  <c r="BL54" i="94"/>
  <c r="AG103" i="94"/>
  <c r="AE104" i="94" s="1"/>
  <c r="AG104" i="93"/>
  <c r="AE105" i="93" s="1"/>
  <c r="BF53" i="93"/>
  <c r="BD54" i="93"/>
  <c r="BF53" i="92"/>
  <c r="BD54" i="92" s="1"/>
  <c r="AG104" i="92"/>
  <c r="AE105" i="92"/>
  <c r="AG104" i="89"/>
  <c r="AE105" i="89"/>
  <c r="BF54" i="89"/>
  <c r="BD55" i="89" s="1"/>
  <c r="BF55" i="89" s="1"/>
  <c r="CB34" i="88"/>
  <c r="BZ35" i="88" s="1"/>
  <c r="AG75" i="88"/>
  <c r="AF77" i="88"/>
  <c r="AG105" i="107" l="1"/>
  <c r="AE106" i="107" s="1"/>
  <c r="AG106" i="107" s="1"/>
  <c r="DR54" i="106"/>
  <c r="DP55" i="106" s="1"/>
  <c r="DR55" i="106" s="1"/>
  <c r="AG105" i="106"/>
  <c r="AE106" i="106" s="1"/>
  <c r="AG106" i="106" s="1"/>
  <c r="DR54" i="105"/>
  <c r="DP55" i="105" s="1"/>
  <c r="DR55" i="105" s="1"/>
  <c r="AG105" i="105"/>
  <c r="AE106" i="105" s="1"/>
  <c r="AG106" i="105" s="1"/>
  <c r="AG104" i="104"/>
  <c r="AE105" i="104" s="1"/>
  <c r="CL54" i="102"/>
  <c r="CJ55" i="102"/>
  <c r="CL55" i="102" s="1"/>
  <c r="AG104" i="102"/>
  <c r="AE105" i="102" s="1"/>
  <c r="CL54" i="101"/>
  <c r="CJ55" i="101"/>
  <c r="CL55" i="101" s="1"/>
  <c r="AG105" i="101"/>
  <c r="AE106" i="101"/>
  <c r="AG106" i="101" s="1"/>
  <c r="AG104" i="100"/>
  <c r="AE105" i="100" s="1"/>
  <c r="CL54" i="100"/>
  <c r="CJ55" i="100" s="1"/>
  <c r="CL55" i="100" s="1"/>
  <c r="CL54" i="98"/>
  <c r="CJ55" i="98" s="1"/>
  <c r="CL55" i="98" s="1"/>
  <c r="BV54" i="97"/>
  <c r="BT55" i="97" s="1"/>
  <c r="BV55" i="97" s="1"/>
  <c r="AG105" i="97"/>
  <c r="AE106" i="97" s="1"/>
  <c r="AG106" i="97" s="1"/>
  <c r="AG105" i="96"/>
  <c r="AE106" i="96" s="1"/>
  <c r="AG106" i="96" s="1"/>
  <c r="BV54" i="96"/>
  <c r="BT55" i="96" s="1"/>
  <c r="BV55" i="96" s="1"/>
  <c r="AG105" i="95"/>
  <c r="AE106" i="95"/>
  <c r="AG106" i="95" s="1"/>
  <c r="AG104" i="94"/>
  <c r="AE105" i="94" s="1"/>
  <c r="BN54" i="94"/>
  <c r="BL55" i="94" s="1"/>
  <c r="BN55" i="94" s="1"/>
  <c r="BF54" i="93"/>
  <c r="BD55" i="93" s="1"/>
  <c r="BF55" i="93" s="1"/>
  <c r="AG105" i="93"/>
  <c r="AE106" i="93" s="1"/>
  <c r="AG106" i="93" s="1"/>
  <c r="BF54" i="92"/>
  <c r="BD55" i="92" s="1"/>
  <c r="BF55" i="92" s="1"/>
  <c r="AG105" i="92"/>
  <c r="AE106" i="92" s="1"/>
  <c r="AG105" i="89"/>
  <c r="AE106" i="89"/>
  <c r="AG106" i="89" s="1"/>
  <c r="CB35" i="88"/>
  <c r="BZ36" i="88" s="1"/>
  <c r="AH75" i="88"/>
  <c r="AG77" i="88"/>
  <c r="AG105" i="104" l="1"/>
  <c r="AE106" i="104" s="1"/>
  <c r="AG106" i="104" s="1"/>
  <c r="AG105" i="102"/>
  <c r="AE106" i="102" s="1"/>
  <c r="AG106" i="102" s="1"/>
  <c r="AG105" i="100"/>
  <c r="AE106" i="100"/>
  <c r="AG106" i="100" s="1"/>
  <c r="AG105" i="94"/>
  <c r="AE106" i="94" s="1"/>
  <c r="AG106" i="94" s="1"/>
  <c r="AG106" i="92"/>
  <c r="AE107" i="92" s="1"/>
  <c r="AG107" i="92" s="1"/>
  <c r="AI75" i="88"/>
  <c r="AH77" i="88"/>
  <c r="CB36" i="88"/>
  <c r="BZ37" i="88" s="1"/>
  <c r="CB37" i="88" l="1"/>
  <c r="BZ38" i="88"/>
  <c r="AJ75" i="88"/>
  <c r="AI77" i="88"/>
  <c r="AK75" i="88" l="1"/>
  <c r="AJ77" i="88"/>
  <c r="CB38" i="88"/>
  <c r="BZ39" i="88" s="1"/>
  <c r="CB39" i="88" l="1"/>
  <c r="BZ40" i="88" s="1"/>
  <c r="AL75" i="88"/>
  <c r="AK77" i="88"/>
  <c r="CB40" i="88" l="1"/>
  <c r="BZ41" i="88" s="1"/>
  <c r="AM75" i="88"/>
  <c r="AL77" i="88"/>
  <c r="CB41" i="88" l="1"/>
  <c r="BZ42" i="88" s="1"/>
  <c r="AN75" i="88"/>
  <c r="AM77" i="88"/>
  <c r="CB42" i="88" l="1"/>
  <c r="BZ43" i="88" s="1"/>
  <c r="AO75" i="88"/>
  <c r="AN77" i="88"/>
  <c r="CB43" i="88" l="1"/>
  <c r="BZ44" i="88" s="1"/>
  <c r="AP75" i="88"/>
  <c r="AO77" i="88"/>
  <c r="AQ75" i="88" l="1"/>
  <c r="AP77" i="88"/>
  <c r="CB44" i="88"/>
  <c r="BZ45" i="88" s="1"/>
  <c r="CB45" i="88" l="1"/>
  <c r="BZ46" i="88" s="1"/>
  <c r="AR75" i="88"/>
  <c r="AQ77" i="88"/>
  <c r="CB46" i="88" l="1"/>
  <c r="BZ47" i="88"/>
  <c r="AS75" i="88"/>
  <c r="AR77" i="88"/>
  <c r="AT75" i="88" l="1"/>
  <c r="AS77" i="88"/>
  <c r="CB47" i="88"/>
  <c r="BZ48" i="88" s="1"/>
  <c r="CB48" i="88" l="1"/>
  <c r="BZ49" i="88" s="1"/>
  <c r="AU75" i="88"/>
  <c r="AT77" i="88"/>
  <c r="CB49" i="88" l="1"/>
  <c r="BZ50" i="88" s="1"/>
  <c r="AV75" i="88"/>
  <c r="AU77" i="88"/>
  <c r="CB50" i="88" l="1"/>
  <c r="BZ51" i="88" s="1"/>
  <c r="AW75" i="88"/>
  <c r="AV77" i="88"/>
  <c r="CB51" i="88" l="1"/>
  <c r="BZ52" i="88"/>
  <c r="AX75" i="88"/>
  <c r="AW77" i="88"/>
  <c r="AY75" i="88" l="1"/>
  <c r="AX77" i="88"/>
  <c r="CB52" i="88"/>
  <c r="BZ53" i="88" s="1"/>
  <c r="CB53" i="88" l="1"/>
  <c r="BZ54" i="88" s="1"/>
  <c r="AZ75" i="88"/>
  <c r="AY77" i="88"/>
  <c r="BA75" i="88" l="1"/>
  <c r="AZ77" i="88"/>
  <c r="CB54" i="88"/>
  <c r="BZ55" i="88" s="1"/>
  <c r="CB55" i="88" l="1"/>
  <c r="BZ56" i="88" s="1"/>
  <c r="BB75" i="88"/>
  <c r="BA77" i="88"/>
  <c r="CB56" i="88" l="1"/>
  <c r="BZ57" i="88" s="1"/>
  <c r="BC75" i="88"/>
  <c r="BB77" i="88"/>
  <c r="BD75" i="88" l="1"/>
  <c r="BC77" i="88"/>
  <c r="CB57" i="88"/>
  <c r="BZ58" i="88"/>
  <c r="CB58" i="88" l="1"/>
  <c r="BZ59" i="88" s="1"/>
  <c r="BE75" i="88"/>
  <c r="BD77" i="88"/>
  <c r="CB59" i="88" l="1"/>
  <c r="BZ60" i="88" s="1"/>
  <c r="BF75" i="88"/>
  <c r="BE77" i="88"/>
  <c r="CB60" i="88" l="1"/>
  <c r="BZ61" i="88" s="1"/>
  <c r="BG75" i="88"/>
  <c r="BF77" i="88"/>
  <c r="CB61" i="88" l="1"/>
  <c r="BZ62" i="88" s="1"/>
  <c r="BH75" i="88"/>
  <c r="BG77" i="88"/>
  <c r="CB62" i="88" l="1"/>
  <c r="BZ63" i="88" s="1"/>
  <c r="BI75" i="88"/>
  <c r="BH77" i="88"/>
  <c r="CB63" i="88" l="1"/>
  <c r="BZ64" i="88" s="1"/>
  <c r="BJ75" i="88"/>
  <c r="BI77" i="88"/>
  <c r="CB64" i="88" l="1"/>
  <c r="BZ65" i="88" s="1"/>
  <c r="BK75" i="88"/>
  <c r="BJ77" i="88"/>
  <c r="BJ81" i="88" s="1"/>
  <c r="BJ83" i="88" l="1"/>
  <c r="BJ87" i="88" s="1"/>
  <c r="BJ85" i="88" s="1"/>
  <c r="CB65" i="88"/>
  <c r="BZ66" i="88" s="1"/>
  <c r="BL75" i="88"/>
  <c r="BK77" i="88"/>
  <c r="CB66" i="88" l="1"/>
  <c r="BZ67" i="88" s="1"/>
  <c r="BM75" i="88"/>
  <c r="BL77" i="88"/>
  <c r="BN75" i="88" l="1"/>
  <c r="BM77" i="88"/>
  <c r="CB67" i="88"/>
  <c r="BZ68" i="88"/>
  <c r="CB68" i="88" l="1"/>
  <c r="BZ69" i="88" s="1"/>
  <c r="BO75" i="88"/>
  <c r="BO77" i="88" s="1"/>
  <c r="BN77" i="88"/>
  <c r="CB69" i="88" l="1"/>
  <c r="BZ70" i="88" s="1"/>
  <c r="BR84" i="88" l="1"/>
  <c r="CB70" i="88"/>
  <c r="Z13" i="87" l="1"/>
  <c r="AF8" i="87"/>
  <c r="AF7" i="87"/>
  <c r="AF12" i="87"/>
  <c r="AF11" i="87"/>
  <c r="AF10" i="87"/>
  <c r="AF9" i="87"/>
  <c r="AF6" i="87"/>
  <c r="U8" i="87"/>
  <c r="Y11" i="87" s="1"/>
  <c r="AA11" i="87" s="1"/>
  <c r="AD11" i="87" s="1"/>
  <c r="S32" i="87"/>
  <c r="Y26" i="87"/>
  <c r="X26" i="87"/>
  <c r="R26" i="87"/>
  <c r="Q26" i="87"/>
  <c r="Q7" i="87"/>
  <c r="Q8" i="87" s="1"/>
  <c r="Q9" i="87" s="1"/>
  <c r="M9" i="87" s="1"/>
  <c r="K15" i="87"/>
  <c r="K14" i="87"/>
  <c r="Y7" i="87" l="1"/>
  <c r="AA7" i="87" s="1"/>
  <c r="AD7" i="87" s="1"/>
  <c r="Y8" i="87"/>
  <c r="AA8" i="87" s="1"/>
  <c r="AD8" i="87" s="1"/>
  <c r="M8" i="87"/>
  <c r="Y9" i="87"/>
  <c r="AA9" i="87" s="1"/>
  <c r="AD9" i="87" s="1"/>
  <c r="Y10" i="87"/>
  <c r="AA10" i="87" s="1"/>
  <c r="AD10" i="87" s="1"/>
  <c r="Y6" i="87"/>
  <c r="AA6" i="87" s="1"/>
  <c r="AD6" i="87" s="1"/>
  <c r="S26" i="87"/>
  <c r="S28" i="87" s="1"/>
  <c r="AF13" i="87"/>
  <c r="Z26" i="87"/>
  <c r="K16" i="87"/>
  <c r="Y12" i="87" l="1"/>
  <c r="AA12" i="87" s="1"/>
  <c r="AD12" i="87" s="1"/>
  <c r="Z28" i="87"/>
  <c r="S31" i="87"/>
  <c r="BW24" i="61"/>
  <c r="BW25" i="61" s="1"/>
  <c r="BW26" i="61" s="1"/>
  <c r="BW27" i="61" s="1"/>
  <c r="BW28" i="61" s="1"/>
  <c r="BW29" i="61" s="1"/>
  <c r="BW30" i="61" s="1"/>
  <c r="BW31" i="61" s="1"/>
  <c r="BW32" i="61" s="1"/>
  <c r="BW33" i="61" s="1"/>
  <c r="BW34" i="61" s="1"/>
  <c r="BW35" i="61" s="1"/>
  <c r="BW36" i="61" s="1"/>
  <c r="BW37" i="61" s="1"/>
  <c r="BW38" i="61" s="1"/>
  <c r="BW39" i="61" s="1"/>
  <c r="BW40" i="61" s="1"/>
  <c r="BW41" i="61" s="1"/>
  <c r="BW42" i="61" s="1"/>
  <c r="BW43" i="61" s="1"/>
  <c r="BW44" i="61" s="1"/>
  <c r="BW45" i="61" s="1"/>
  <c r="BW46" i="61" s="1"/>
  <c r="BW47" i="61" s="1"/>
  <c r="BW48" i="61" s="1"/>
  <c r="BW49" i="61" s="1"/>
  <c r="BW50" i="61" s="1"/>
  <c r="BW51" i="61" s="1"/>
  <c r="BW52" i="61" s="1"/>
  <c r="BW53" i="61" s="1"/>
  <c r="BW54" i="61" s="1"/>
  <c r="BW55" i="61" s="1"/>
  <c r="BN56" i="61"/>
  <c r="BM56" i="61"/>
  <c r="BS26" i="61"/>
  <c r="BS27" i="61" s="1"/>
  <c r="BS28" i="61" s="1"/>
  <c r="BS29" i="61" s="1"/>
  <c r="BS30" i="61" s="1"/>
  <c r="BS31" i="61" s="1"/>
  <c r="BS32" i="61" s="1"/>
  <c r="BS33" i="61" s="1"/>
  <c r="BS34" i="61" s="1"/>
  <c r="BS35" i="61" s="1"/>
  <c r="BS36" i="61" s="1"/>
  <c r="BS37" i="61" s="1"/>
  <c r="BS38" i="61" s="1"/>
  <c r="BS39" i="61" s="1"/>
  <c r="BS40" i="61" s="1"/>
  <c r="BS41" i="61" s="1"/>
  <c r="BS42" i="61" s="1"/>
  <c r="BS43" i="61" s="1"/>
  <c r="BS44" i="61" s="1"/>
  <c r="BS45" i="61" s="1"/>
  <c r="BS46" i="61" s="1"/>
  <c r="BS47" i="61" s="1"/>
  <c r="BS48" i="61" s="1"/>
  <c r="BS49" i="61" s="1"/>
  <c r="BS50" i="61" s="1"/>
  <c r="BS51" i="61" s="1"/>
  <c r="BS52" i="61" s="1"/>
  <c r="BS53" i="61" s="1"/>
  <c r="BS54" i="61" s="1"/>
  <c r="BS55" i="61" s="1"/>
  <c r="S71" i="61"/>
  <c r="AS67" i="61"/>
  <c r="AS69" i="61" s="1"/>
  <c r="AS70" i="61" s="1"/>
  <c r="M24" i="8"/>
  <c r="S33" i="87" l="1"/>
  <c r="S35" i="87" s="1"/>
  <c r="S37" i="87" s="1"/>
  <c r="CZ42" i="112" s="1"/>
  <c r="E10" i="61"/>
  <c r="C37" i="61"/>
  <c r="E13" i="85"/>
  <c r="E21" i="85"/>
  <c r="J96" i="85"/>
  <c r="BT42" i="102" l="1"/>
  <c r="CZ42" i="106"/>
  <c r="CZ42" i="105"/>
  <c r="BT42" i="100"/>
  <c r="BT42" i="101"/>
  <c r="BT42" i="98"/>
  <c r="BD42" i="96"/>
  <c r="AN42" i="92"/>
  <c r="CZ42" i="107"/>
  <c r="AV42" i="95"/>
  <c r="BT42" i="104"/>
  <c r="AV42" i="94"/>
  <c r="AN42" i="93"/>
  <c r="BD42" i="97"/>
  <c r="AN42" i="89"/>
  <c r="C38" i="61"/>
  <c r="J188" i="84"/>
  <c r="J190" i="84" s="1"/>
  <c r="C39" i="61" l="1"/>
  <c r="AI208" i="84"/>
  <c r="N206" i="84"/>
  <c r="N205" i="84"/>
  <c r="W202" i="84"/>
  <c r="M202" i="84"/>
  <c r="W200" i="84"/>
  <c r="M200" i="84"/>
  <c r="W198" i="84"/>
  <c r="M198" i="84"/>
  <c r="W196" i="84"/>
  <c r="M196" i="84"/>
  <c r="W194" i="84"/>
  <c r="M194" i="84"/>
  <c r="W192" i="84"/>
  <c r="M192" i="84"/>
  <c r="U190" i="84"/>
  <c r="M189" i="84"/>
  <c r="M188" i="84"/>
  <c r="M187" i="84"/>
  <c r="M186" i="84"/>
  <c r="M185" i="84"/>
  <c r="M184" i="84"/>
  <c r="M183" i="84"/>
  <c r="M182" i="84"/>
  <c r="M181" i="84"/>
  <c r="N180" i="84"/>
  <c r="M180" i="84"/>
  <c r="W179" i="84"/>
  <c r="M179" i="84"/>
  <c r="U177" i="84"/>
  <c r="M176" i="84"/>
  <c r="M175" i="84"/>
  <c r="M174" i="84"/>
  <c r="M173" i="84"/>
  <c r="M172" i="84"/>
  <c r="N171" i="84"/>
  <c r="W171" i="84" s="1"/>
  <c r="M171" i="84"/>
  <c r="M170" i="84"/>
  <c r="AG169" i="84"/>
  <c r="M169" i="84"/>
  <c r="N168" i="84"/>
  <c r="M168" i="84"/>
  <c r="W167" i="84"/>
  <c r="M167" i="84"/>
  <c r="W164" i="84"/>
  <c r="M164" i="84"/>
  <c r="W162" i="84"/>
  <c r="M162" i="84"/>
  <c r="W160" i="84"/>
  <c r="M160" i="84"/>
  <c r="W158" i="84"/>
  <c r="M158" i="84"/>
  <c r="W156" i="84"/>
  <c r="M156" i="84"/>
  <c r="W154" i="84"/>
  <c r="M154" i="84"/>
  <c r="W152" i="84"/>
  <c r="M152" i="84"/>
  <c r="W150" i="84"/>
  <c r="M150" i="84"/>
  <c r="W148" i="84"/>
  <c r="M148" i="84"/>
  <c r="W146" i="84"/>
  <c r="M146" i="84"/>
  <c r="W144" i="84"/>
  <c r="M144" i="84"/>
  <c r="W142" i="84"/>
  <c r="M142" i="84"/>
  <c r="W140" i="84"/>
  <c r="M140" i="84"/>
  <c r="U138" i="84"/>
  <c r="M137" i="84"/>
  <c r="M136" i="84"/>
  <c r="M135" i="84"/>
  <c r="M134" i="84"/>
  <c r="N133" i="84"/>
  <c r="W133" i="84" s="1"/>
  <c r="M133" i="84"/>
  <c r="W132" i="84"/>
  <c r="M132" i="84"/>
  <c r="U130" i="84"/>
  <c r="N129" i="84"/>
  <c r="W129" i="84" s="1"/>
  <c r="W128" i="84"/>
  <c r="M128" i="84"/>
  <c r="W126" i="84"/>
  <c r="M126" i="84"/>
  <c r="U124" i="84"/>
  <c r="N123" i="84"/>
  <c r="W123" i="84" s="1"/>
  <c r="M123" i="84"/>
  <c r="W122" i="84"/>
  <c r="M122" i="84"/>
  <c r="U120" i="84"/>
  <c r="M119" i="84"/>
  <c r="M118" i="84"/>
  <c r="M117" i="84"/>
  <c r="N116" i="84"/>
  <c r="M116" i="84"/>
  <c r="W115" i="84"/>
  <c r="M115" i="84"/>
  <c r="R114" i="84"/>
  <c r="R115" i="84" s="1"/>
  <c r="R122" i="84" s="1"/>
  <c r="R126" i="84" s="1"/>
  <c r="R128" i="84" s="1"/>
  <c r="R132" i="84" s="1"/>
  <c r="R140" i="84" s="1"/>
  <c r="R142" i="84" s="1"/>
  <c r="R144" i="84" s="1"/>
  <c r="R146" i="84" s="1"/>
  <c r="R148" i="84" s="1"/>
  <c r="R150" i="84" s="1"/>
  <c r="R152" i="84" s="1"/>
  <c r="Q114" i="84"/>
  <c r="Q115" i="84" s="1"/>
  <c r="Q122" i="84" s="1"/>
  <c r="Q126" i="84" s="1"/>
  <c r="Q128" i="84" s="1"/>
  <c r="Q132" i="84" s="1"/>
  <c r="Q140" i="84" s="1"/>
  <c r="Q142" i="84" s="1"/>
  <c r="Q144" i="84" s="1"/>
  <c r="Q146" i="84" s="1"/>
  <c r="Q148" i="84" s="1"/>
  <c r="Q150" i="84" s="1"/>
  <c r="Q152" i="84" s="1"/>
  <c r="Q154" i="84" s="1"/>
  <c r="Q156" i="84" s="1"/>
  <c r="Q158" i="84" s="1"/>
  <c r="Q160" i="84" s="1"/>
  <c r="Q162" i="84" s="1"/>
  <c r="Q164" i="84" s="1"/>
  <c r="Q167" i="84" s="1"/>
  <c r="Q179" i="84" s="1"/>
  <c r="Q192" i="84" s="1"/>
  <c r="Q194" i="84" s="1"/>
  <c r="Q196" i="84" s="1"/>
  <c r="Q198" i="84" s="1"/>
  <c r="Q200" i="84" s="1"/>
  <c r="P114" i="84"/>
  <c r="L114" i="84"/>
  <c r="I114" i="84"/>
  <c r="AO113" i="84"/>
  <c r="AM113" i="84"/>
  <c r="AN112" i="84"/>
  <c r="AL112" i="84"/>
  <c r="AM111" i="84"/>
  <c r="AN111" i="84" s="1"/>
  <c r="AO111" i="84" s="1"/>
  <c r="AP111" i="84" s="1"/>
  <c r="AQ111" i="84" s="1"/>
  <c r="AR111" i="84" s="1"/>
  <c r="AS111" i="84" s="1"/>
  <c r="AT111" i="84" s="1"/>
  <c r="AU111" i="84" s="1"/>
  <c r="AV111" i="84" s="1"/>
  <c r="AW111" i="84" s="1"/>
  <c r="AX111" i="84" s="1"/>
  <c r="AY111" i="84" s="1"/>
  <c r="AZ111" i="84" s="1"/>
  <c r="BA111" i="84" s="1"/>
  <c r="BB111" i="84" s="1"/>
  <c r="BC111" i="84" s="1"/>
  <c r="BD111" i="84" s="1"/>
  <c r="BE111" i="84" s="1"/>
  <c r="BF111" i="84" s="1"/>
  <c r="BG111" i="84" s="1"/>
  <c r="BH111" i="84" s="1"/>
  <c r="BI111" i="84" s="1"/>
  <c r="BJ111" i="84" s="1"/>
  <c r="BK111" i="84" s="1"/>
  <c r="BL111" i="84" s="1"/>
  <c r="BM111" i="84" s="1"/>
  <c r="BN111" i="84" s="1"/>
  <c r="BO111" i="84" s="1"/>
  <c r="BP111" i="84" s="1"/>
  <c r="BQ111" i="84" s="1"/>
  <c r="D111" i="84"/>
  <c r="D31" i="84" s="1"/>
  <c r="D33" i="84" s="1"/>
  <c r="G105" i="84"/>
  <c r="G107" i="84" s="1"/>
  <c r="I100" i="84"/>
  <c r="I101" i="84" s="1"/>
  <c r="I102" i="84" s="1"/>
  <c r="G98" i="84"/>
  <c r="I92" i="84"/>
  <c r="I93" i="84" s="1"/>
  <c r="I94" i="84" s="1"/>
  <c r="I95" i="84" s="1"/>
  <c r="I96" i="84" s="1"/>
  <c r="I97" i="84" s="1"/>
  <c r="G88" i="84"/>
  <c r="G64" i="84"/>
  <c r="J63" i="84"/>
  <c r="J62" i="84"/>
  <c r="K64" i="84" s="1"/>
  <c r="K66" i="84" s="1"/>
  <c r="J61" i="84"/>
  <c r="J60" i="84"/>
  <c r="G53" i="84"/>
  <c r="J52" i="84"/>
  <c r="J51" i="84"/>
  <c r="J50" i="84"/>
  <c r="J49" i="84"/>
  <c r="G41" i="84"/>
  <c r="J40" i="84"/>
  <c r="J39" i="84"/>
  <c r="J38" i="84"/>
  <c r="J37" i="84"/>
  <c r="J36" i="84"/>
  <c r="J35" i="84"/>
  <c r="J34" i="84"/>
  <c r="E34" i="84"/>
  <c r="E35" i="84" s="1"/>
  <c r="E36" i="84" s="1"/>
  <c r="E37" i="84" s="1"/>
  <c r="E38" i="84" s="1"/>
  <c r="E39" i="84" s="1"/>
  <c r="E40" i="84" s="1"/>
  <c r="E49" i="84" s="1"/>
  <c r="E50" i="84" s="1"/>
  <c r="E51" i="84" s="1"/>
  <c r="E52" i="84" s="1"/>
  <c r="E60" i="84" s="1"/>
  <c r="E61" i="84" s="1"/>
  <c r="E62" i="84" s="1"/>
  <c r="E63" i="84" s="1"/>
  <c r="J33" i="84"/>
  <c r="G26" i="84"/>
  <c r="J25" i="84"/>
  <c r="J24" i="84"/>
  <c r="J23" i="84"/>
  <c r="J22" i="84"/>
  <c r="J21" i="84"/>
  <c r="J20" i="84"/>
  <c r="J19" i="84"/>
  <c r="J18" i="84"/>
  <c r="E18" i="84"/>
  <c r="E19" i="84" s="1"/>
  <c r="E20" i="84" s="1"/>
  <c r="E21" i="84" s="1"/>
  <c r="E22" i="84" s="1"/>
  <c r="E23" i="84" s="1"/>
  <c r="E24" i="84" s="1"/>
  <c r="E25" i="84" s="1"/>
  <c r="J17" i="84"/>
  <c r="J16" i="84"/>
  <c r="J15" i="84"/>
  <c r="J14" i="84"/>
  <c r="J13" i="84"/>
  <c r="J12" i="84"/>
  <c r="J11" i="84"/>
  <c r="J10" i="84"/>
  <c r="B10" i="84"/>
  <c r="B11" i="84" s="1"/>
  <c r="B12" i="84" s="1"/>
  <c r="B7" i="84"/>
  <c r="J5" i="84"/>
  <c r="K41" i="84" l="1"/>
  <c r="K43" i="84" s="1"/>
  <c r="J71" i="84"/>
  <c r="K53" i="84"/>
  <c r="K55" i="84" s="1"/>
  <c r="C40" i="61"/>
  <c r="R154" i="84"/>
  <c r="R156" i="84"/>
  <c r="R160" i="84" s="1"/>
  <c r="S206" i="84"/>
  <c r="Q202" i="84"/>
  <c r="K28" i="84"/>
  <c r="K69" i="84" s="1"/>
  <c r="J73" i="84" s="1"/>
  <c r="I103" i="84"/>
  <c r="I104" i="84" s="1"/>
  <c r="J102" i="84"/>
  <c r="D34" i="84"/>
  <c r="H33" i="84"/>
  <c r="W180" i="84"/>
  <c r="N181" i="84"/>
  <c r="N134" i="84"/>
  <c r="W168" i="84"/>
  <c r="N169" i="84"/>
  <c r="D58" i="84"/>
  <c r="D60" i="84" s="1"/>
  <c r="K26" i="84"/>
  <c r="W116" i="84"/>
  <c r="N117" i="84"/>
  <c r="D113" i="84"/>
  <c r="D47" i="84"/>
  <c r="D49" i="84" s="1"/>
  <c r="C41" i="61" l="1"/>
  <c r="W181" i="84"/>
  <c r="N182" i="84"/>
  <c r="W169" i="84"/>
  <c r="N170" i="84"/>
  <c r="H49" i="84"/>
  <c r="D50" i="84"/>
  <c r="D80" i="84"/>
  <c r="D81" i="84" s="1"/>
  <c r="D114" i="84"/>
  <c r="H114" i="84" s="1"/>
  <c r="J114" i="84" s="1"/>
  <c r="N135" i="84"/>
  <c r="W134" i="84"/>
  <c r="W117" i="84"/>
  <c r="N118" i="84"/>
  <c r="D35" i="84"/>
  <c r="H34" i="84"/>
  <c r="J76" i="84"/>
  <c r="J75" i="84"/>
  <c r="J77" i="84" s="1"/>
  <c r="D61" i="84"/>
  <c r="H60" i="84"/>
  <c r="R164" i="84"/>
  <c r="R167" i="84" s="1"/>
  <c r="R179" i="84" s="1"/>
  <c r="R192" i="84" s="1"/>
  <c r="R194" i="84" s="1"/>
  <c r="R158" i="84"/>
  <c r="R162" i="84" s="1"/>
  <c r="C42" i="61" l="1"/>
  <c r="W170" i="84"/>
  <c r="N172" i="84"/>
  <c r="N183" i="84"/>
  <c r="W182" i="84"/>
  <c r="R198" i="84"/>
  <c r="R200" i="84" s="1"/>
  <c r="R202" i="84" s="1"/>
  <c r="R196" i="84"/>
  <c r="D82" i="84"/>
  <c r="H81" i="84"/>
  <c r="H50" i="84"/>
  <c r="D51" i="84"/>
  <c r="H35" i="84"/>
  <c r="D36" i="84"/>
  <c r="N119" i="84"/>
  <c r="W119" i="84" s="1"/>
  <c r="W118" i="84"/>
  <c r="H61" i="84"/>
  <c r="D62" i="84"/>
  <c r="W135" i="84"/>
  <c r="N136" i="84"/>
  <c r="W136" i="84" s="1"/>
  <c r="N137" i="84"/>
  <c r="W137" i="84" s="1"/>
  <c r="AI210" i="84"/>
  <c r="J115" i="84"/>
  <c r="C43" i="61" l="1"/>
  <c r="D52" i="84"/>
  <c r="H52" i="84" s="1"/>
  <c r="H51" i="84"/>
  <c r="H53" i="84" s="1"/>
  <c r="W183" i="84"/>
  <c r="N184" i="84"/>
  <c r="J122" i="84"/>
  <c r="O115" i="84"/>
  <c r="W172" i="84"/>
  <c r="N173" i="84"/>
  <c r="J81" i="84"/>
  <c r="D37" i="84"/>
  <c r="H36" i="84"/>
  <c r="D83" i="84"/>
  <c r="H82" i="84"/>
  <c r="J82" i="84" s="1"/>
  <c r="D63" i="84"/>
  <c r="H63" i="84" s="1"/>
  <c r="H62" i="84"/>
  <c r="H64" i="84" l="1"/>
  <c r="W173" i="84"/>
  <c r="N174" i="84"/>
  <c r="S115" i="84"/>
  <c r="D84" i="84"/>
  <c r="H83" i="84"/>
  <c r="J83" i="84" s="1"/>
  <c r="O122" i="84"/>
  <c r="S122" i="84" s="1"/>
  <c r="J126" i="84"/>
  <c r="W184" i="84"/>
  <c r="N185" i="84"/>
  <c r="H37" i="84"/>
  <c r="D38" i="84"/>
  <c r="S116" i="84" l="1"/>
  <c r="V115" i="84"/>
  <c r="J128" i="84"/>
  <c r="O126" i="84"/>
  <c r="D85" i="84"/>
  <c r="H84" i="84"/>
  <c r="D39" i="84"/>
  <c r="H38" i="84"/>
  <c r="S123" i="84"/>
  <c r="V123" i="84" s="1"/>
  <c r="AG123" i="84" s="1"/>
  <c r="V122" i="84"/>
  <c r="AG122" i="84" s="1"/>
  <c r="W174" i="84"/>
  <c r="N175" i="84"/>
  <c r="W185" i="84"/>
  <c r="N186" i="84"/>
  <c r="O128" i="84" l="1"/>
  <c r="S128" i="84" s="1"/>
  <c r="J132" i="84"/>
  <c r="J84" i="84"/>
  <c r="D86" i="84"/>
  <c r="H85" i="84"/>
  <c r="J85" i="84" s="1"/>
  <c r="S126" i="84"/>
  <c r="V126" i="84" s="1"/>
  <c r="AF126" i="84" s="1"/>
  <c r="N187" i="84"/>
  <c r="W186" i="84"/>
  <c r="AC115" i="84"/>
  <c r="S117" i="84"/>
  <c r="V116" i="84"/>
  <c r="AC116" i="84" s="1"/>
  <c r="N176" i="84"/>
  <c r="W176" i="84" s="1"/>
  <c r="W175" i="84"/>
  <c r="D40" i="84"/>
  <c r="H40" i="84" s="1"/>
  <c r="H39" i="84"/>
  <c r="V128" i="84" l="1"/>
  <c r="AE128" i="84" s="1"/>
  <c r="S129" i="84"/>
  <c r="V129" i="84" s="1"/>
  <c r="AG129" i="84" s="1"/>
  <c r="H41" i="84"/>
  <c r="D87" i="84"/>
  <c r="H86" i="84"/>
  <c r="S118" i="84"/>
  <c r="V117" i="84"/>
  <c r="W187" i="84"/>
  <c r="N188" i="84"/>
  <c r="O132" i="84"/>
  <c r="J140" i="84"/>
  <c r="J142" i="84" l="1"/>
  <c r="O140" i="84"/>
  <c r="S140" i="84" s="1"/>
  <c r="V140" i="84" s="1"/>
  <c r="AE140" i="84" s="1"/>
  <c r="S132" i="84"/>
  <c r="J86" i="84"/>
  <c r="W188" i="84"/>
  <c r="N189" i="84"/>
  <c r="W189" i="84" s="1"/>
  <c r="H87" i="84"/>
  <c r="J87" i="84" s="1"/>
  <c r="D91" i="84"/>
  <c r="AL117" i="84"/>
  <c r="AC117" i="84"/>
  <c r="S119" i="84"/>
  <c r="V119" i="84" s="1"/>
  <c r="V118" i="84"/>
  <c r="AC118" i="84" s="1"/>
  <c r="H88" i="84" l="1"/>
  <c r="W205" i="84"/>
  <c r="S133" i="84"/>
  <c r="V132" i="84"/>
  <c r="AC132" i="84" s="1"/>
  <c r="O142" i="84"/>
  <c r="S142" i="84" s="1"/>
  <c r="J144" i="84"/>
  <c r="AH119" i="84"/>
  <c r="AE119" i="84"/>
  <c r="D92" i="84"/>
  <c r="H91" i="84"/>
  <c r="J88" i="84"/>
  <c r="O144" i="84" l="1"/>
  <c r="S144" i="84" s="1"/>
  <c r="V144" i="84" s="1"/>
  <c r="J146" i="84"/>
  <c r="V142" i="84"/>
  <c r="AE142" i="84" s="1"/>
  <c r="S134" i="84"/>
  <c r="V133" i="84"/>
  <c r="AC133" i="84" s="1"/>
  <c r="J91" i="84"/>
  <c r="H92" i="84"/>
  <c r="J92" i="84" s="1"/>
  <c r="D93" i="84"/>
  <c r="D94" i="84" l="1"/>
  <c r="H93" i="84"/>
  <c r="J93" i="84" s="1"/>
  <c r="O146" i="84"/>
  <c r="S146" i="84" s="1"/>
  <c r="J148" i="84"/>
  <c r="S135" i="84"/>
  <c r="V134" i="84"/>
  <c r="AC134" i="84" s="1"/>
  <c r="V135" i="84" l="1"/>
  <c r="AC135" i="84" s="1"/>
  <c r="S136" i="84"/>
  <c r="J150" i="84"/>
  <c r="O148" i="84"/>
  <c r="S148" i="84" s="1"/>
  <c r="V148" i="84" s="1"/>
  <c r="AD148" i="84" s="1"/>
  <c r="V146" i="84"/>
  <c r="AD146" i="84" s="1"/>
  <c r="D95" i="84"/>
  <c r="H94" i="84"/>
  <c r="J94" i="84" s="1"/>
  <c r="J152" i="84" l="1"/>
  <c r="O150" i="84"/>
  <c r="S150" i="84" s="1"/>
  <c r="V150" i="84" s="1"/>
  <c r="AD150" i="84" s="1"/>
  <c r="S137" i="84"/>
  <c r="V137" i="84" s="1"/>
  <c r="AC137" i="84" s="1"/>
  <c r="V136" i="84"/>
  <c r="AC136" i="84" s="1"/>
  <c r="D96" i="84"/>
  <c r="H95" i="84"/>
  <c r="J95" i="84" s="1"/>
  <c r="H96" i="84" l="1"/>
  <c r="J96" i="84" s="1"/>
  <c r="D97" i="84"/>
  <c r="O152" i="84"/>
  <c r="S152" i="84" s="1"/>
  <c r="V152" i="84" s="1"/>
  <c r="AC152" i="84" s="1"/>
  <c r="J154" i="84"/>
  <c r="J156" i="84" l="1"/>
  <c r="O154" i="84"/>
  <c r="S154" i="84" s="1"/>
  <c r="V154" i="84" s="1"/>
  <c r="AE154" i="84" s="1"/>
  <c r="D100" i="84"/>
  <c r="H97" i="84"/>
  <c r="J97" i="84" l="1"/>
  <c r="J98" i="84" s="1"/>
  <c r="H98" i="84"/>
  <c r="H100" i="84"/>
  <c r="D101" i="84"/>
  <c r="O156" i="84"/>
  <c r="S156" i="84" s="1"/>
  <c r="J158" i="84"/>
  <c r="J160" i="84" l="1"/>
  <c r="O158" i="84"/>
  <c r="S158" i="84" s="1"/>
  <c r="V158" i="84" s="1"/>
  <c r="AC158" i="84" s="1"/>
  <c r="V156" i="84"/>
  <c r="AD156" i="84" s="1"/>
  <c r="H101" i="84"/>
  <c r="J101" i="84" s="1"/>
  <c r="D102" i="84"/>
  <c r="D103" i="84" s="1"/>
  <c r="J100" i="84"/>
  <c r="D104" i="84" l="1"/>
  <c r="H104" i="84" s="1"/>
  <c r="J104" i="84" s="1"/>
  <c r="H103" i="84"/>
  <c r="O160" i="84"/>
  <c r="S160" i="84" s="1"/>
  <c r="V160" i="84" s="1"/>
  <c r="AF160" i="84" s="1"/>
  <c r="J162" i="84"/>
  <c r="O162" i="84" l="1"/>
  <c r="S162" i="84" s="1"/>
  <c r="V162" i="84" s="1"/>
  <c r="AE162" i="84" s="1"/>
  <c r="J164" i="84"/>
  <c r="J103" i="84"/>
  <c r="J105" i="84" s="1"/>
  <c r="J107" i="84" s="1"/>
  <c r="J108" i="84" s="1"/>
  <c r="H105" i="84"/>
  <c r="H107" i="84" s="1"/>
  <c r="J167" i="84" l="1"/>
  <c r="O164" i="84"/>
  <c r="S164" i="84" s="1"/>
  <c r="V164" i="84" l="1"/>
  <c r="AF164" i="84" s="1"/>
  <c r="J179" i="84"/>
  <c r="O167" i="84"/>
  <c r="S167" i="84" s="1"/>
  <c r="S171" i="84" l="1"/>
  <c r="V171" i="84" s="1"/>
  <c r="AE171" i="84" s="1"/>
  <c r="S168" i="84"/>
  <c r="S170" i="84"/>
  <c r="V167" i="84"/>
  <c r="AF167" i="84" s="1"/>
  <c r="O179" i="84"/>
  <c r="S179" i="84" s="1"/>
  <c r="J192" i="84"/>
  <c r="O192" i="84" l="1"/>
  <c r="S192" i="84" s="1"/>
  <c r="J194" i="84"/>
  <c r="V168" i="84"/>
  <c r="AF168" i="84" s="1"/>
  <c r="S169" i="84"/>
  <c r="V169" i="84" s="1"/>
  <c r="S180" i="84"/>
  <c r="V179" i="84"/>
  <c r="AC179" i="84" s="1"/>
  <c r="S172" i="84"/>
  <c r="V170" i="84"/>
  <c r="AE170" i="84" s="1"/>
  <c r="V172" i="84" l="1"/>
  <c r="AC172" i="84" s="1"/>
  <c r="S173" i="84"/>
  <c r="J196" i="84"/>
  <c r="O194" i="84"/>
  <c r="S194" i="84" s="1"/>
  <c r="V194" i="84" s="1"/>
  <c r="AC194" i="84" s="1"/>
  <c r="V180" i="84"/>
  <c r="AC180" i="84" s="1"/>
  <c r="S181" i="84"/>
  <c r="V192" i="84"/>
  <c r="AG192" i="84" s="1"/>
  <c r="AG206" i="84" s="1"/>
  <c r="AG207" i="84" s="1"/>
  <c r="V181" i="84" l="1"/>
  <c r="AC181" i="84" s="1"/>
  <c r="S182" i="84"/>
  <c r="O196" i="84"/>
  <c r="S196" i="84" s="1"/>
  <c r="J198" i="84"/>
  <c r="S174" i="84"/>
  <c r="V173" i="84"/>
  <c r="AD173" i="84" s="1"/>
  <c r="AD206" i="84" s="1"/>
  <c r="AD207" i="84" s="1"/>
  <c r="S175" i="84" l="1"/>
  <c r="V174" i="84"/>
  <c r="AC174" i="84" s="1"/>
  <c r="S183" i="84"/>
  <c r="V182" i="84"/>
  <c r="AC182" i="84" s="1"/>
  <c r="O198" i="84"/>
  <c r="S198" i="84" s="1"/>
  <c r="V198" i="84" s="1"/>
  <c r="AC198" i="84" s="1"/>
  <c r="J200" i="84"/>
  <c r="V196" i="84"/>
  <c r="AE196" i="84" s="1"/>
  <c r="AE206" i="84" s="1"/>
  <c r="AE207" i="84" s="1"/>
  <c r="J202" i="84" l="1"/>
  <c r="O200" i="84"/>
  <c r="S200" i="84" s="1"/>
  <c r="S184" i="84"/>
  <c r="V183" i="84"/>
  <c r="AC183" i="84" s="1"/>
  <c r="S176" i="84"/>
  <c r="V176" i="84" s="1"/>
  <c r="AH176" i="84" s="1"/>
  <c r="AH206" i="84" s="1"/>
  <c r="AH207" i="84" s="1"/>
  <c r="V175" i="84"/>
  <c r="AC175" i="84" s="1"/>
  <c r="S185" i="84" l="1"/>
  <c r="V184" i="84"/>
  <c r="AC184" i="84" s="1"/>
  <c r="V200" i="84"/>
  <c r="AF200" i="84" s="1"/>
  <c r="O202" i="84"/>
  <c r="J208" i="84"/>
  <c r="S202" i="84" l="1"/>
  <c r="O205" i="84"/>
  <c r="V185" i="84"/>
  <c r="AC185" i="84" s="1"/>
  <c r="S186" i="84"/>
  <c r="V202" i="84" l="1"/>
  <c r="S205" i="84"/>
  <c r="S207" i="84" s="1"/>
  <c r="S187" i="84"/>
  <c r="V186" i="84"/>
  <c r="AC186" i="84" s="1"/>
  <c r="AF202" i="84" l="1"/>
  <c r="AF206" i="84" s="1"/>
  <c r="AF207" i="84" s="1"/>
  <c r="S188" i="84"/>
  <c r="V187" i="84"/>
  <c r="AC187" i="84" s="1"/>
  <c r="S189" i="84" l="1"/>
  <c r="V189" i="84" s="1"/>
  <c r="AC189" i="84" s="1"/>
  <c r="V188" i="84"/>
  <c r="AC188" i="84" s="1"/>
  <c r="AC206" i="84" l="1"/>
  <c r="AC207" i="84" s="1"/>
  <c r="AI207" i="84" s="1"/>
  <c r="AI209" i="84" s="1"/>
  <c r="AI211" i="84" s="1"/>
  <c r="AA114" i="84" s="1"/>
  <c r="V205" i="84"/>
  <c r="AR32" i="61" l="1"/>
  <c r="U7" i="8" l="1"/>
  <c r="X6" i="8"/>
  <c r="X7" i="8" s="1"/>
  <c r="BE24" i="61" l="1"/>
  <c r="BE25" i="61" s="1"/>
  <c r="BE26" i="61" s="1"/>
  <c r="BE27" i="61" s="1"/>
  <c r="BE28" i="61" s="1"/>
  <c r="BE29" i="61" s="1"/>
  <c r="BE30" i="61" s="1"/>
  <c r="BE31" i="61" s="1"/>
  <c r="BE32" i="61" s="1"/>
  <c r="BE33" i="61" s="1"/>
  <c r="BE34" i="61" s="1"/>
  <c r="BE35" i="61" s="1"/>
  <c r="BE36" i="61" s="1"/>
  <c r="BE37" i="61" s="1"/>
  <c r="BE38" i="61" s="1"/>
  <c r="BE39" i="61" s="1"/>
  <c r="BE40" i="61" s="1"/>
  <c r="BE41" i="61" s="1"/>
  <c r="BE42" i="61" s="1"/>
  <c r="BE43" i="61" s="1"/>
  <c r="BE44" i="61" s="1"/>
  <c r="BE45" i="61" s="1"/>
  <c r="BE46" i="61" s="1"/>
  <c r="BE47" i="61" s="1"/>
  <c r="BE48" i="61" s="1"/>
  <c r="BE49" i="61" s="1"/>
  <c r="BE50" i="61" s="1"/>
  <c r="BE51" i="61" s="1"/>
  <c r="BE52" i="61" s="1"/>
  <c r="BE53" i="61" s="1"/>
  <c r="BE54" i="61" s="1"/>
  <c r="BE55" i="61" s="1"/>
  <c r="BC24" i="61"/>
  <c r="BC25" i="61" s="1"/>
  <c r="BC26" i="61" s="1"/>
  <c r="BC27" i="61" s="1"/>
  <c r="BC28" i="61" s="1"/>
  <c r="BC29" i="61" s="1"/>
  <c r="BC30" i="61" s="1"/>
  <c r="BC31" i="61" s="1"/>
  <c r="BC32" i="61" s="1"/>
  <c r="BC33" i="61" s="1"/>
  <c r="BC34" i="61" s="1"/>
  <c r="BC35" i="61" s="1"/>
  <c r="BC36" i="61" s="1"/>
  <c r="BC37" i="61" s="1"/>
  <c r="BC38" i="61" s="1"/>
  <c r="BC39" i="61" s="1"/>
  <c r="BC40" i="61" s="1"/>
  <c r="BC41" i="61" s="1"/>
  <c r="BC42" i="61" s="1"/>
  <c r="BC43" i="61" s="1"/>
  <c r="BC44" i="61" s="1"/>
  <c r="BC45" i="61" s="1"/>
  <c r="BC46" i="61" s="1"/>
  <c r="BC47" i="61" s="1"/>
  <c r="BC48" i="61" s="1"/>
  <c r="BC49" i="61" s="1"/>
  <c r="BC50" i="61" s="1"/>
  <c r="BC51" i="61" s="1"/>
  <c r="BC52" i="61" s="1"/>
  <c r="BC53" i="61" s="1"/>
  <c r="BC54" i="61" s="1"/>
  <c r="BC55" i="61" s="1"/>
  <c r="BF23" i="61"/>
  <c r="BD24" i="61" s="1"/>
  <c r="AD75" i="61"/>
  <c r="AD76" i="61" s="1"/>
  <c r="AD77" i="61" s="1"/>
  <c r="AD78" i="61" s="1"/>
  <c r="AD79" i="61" s="1"/>
  <c r="AD80" i="61" s="1"/>
  <c r="AD81" i="61" s="1"/>
  <c r="AD82" i="61" s="1"/>
  <c r="AD83" i="61" s="1"/>
  <c r="AD84" i="61" s="1"/>
  <c r="AD85" i="61" s="1"/>
  <c r="AD86" i="61" s="1"/>
  <c r="AD87" i="61" s="1"/>
  <c r="AD88" i="61" s="1"/>
  <c r="AD89" i="61" s="1"/>
  <c r="AD90" i="61" s="1"/>
  <c r="AD91" i="61" s="1"/>
  <c r="AD92" i="61" s="1"/>
  <c r="AD93" i="61" s="1"/>
  <c r="AD94" i="61" s="1"/>
  <c r="AD95" i="61" s="1"/>
  <c r="AD96" i="61" s="1"/>
  <c r="AD97" i="61" s="1"/>
  <c r="AD98" i="61" s="1"/>
  <c r="AD99" i="61" s="1"/>
  <c r="AD100" i="61" s="1"/>
  <c r="AD101" i="61" s="1"/>
  <c r="AD102" i="61" s="1"/>
  <c r="AD103" i="61" s="1"/>
  <c r="AD104" i="61" s="1"/>
  <c r="AD105" i="61" s="1"/>
  <c r="AD106" i="61" s="1"/>
  <c r="AF74" i="61"/>
  <c r="AG74" i="61" s="1"/>
  <c r="AE75" i="61" s="1"/>
  <c r="BF24" i="61" l="1"/>
  <c r="BD25" i="61" s="1"/>
  <c r="AF75" i="61"/>
  <c r="AF76" i="61" s="1"/>
  <c r="AF77" i="61" s="1"/>
  <c r="AF78" i="61" s="1"/>
  <c r="AF79" i="61" s="1"/>
  <c r="AF80" i="61" s="1"/>
  <c r="AF81" i="61" s="1"/>
  <c r="AF82" i="61" s="1"/>
  <c r="AF83" i="61" s="1"/>
  <c r="AF84" i="61" s="1"/>
  <c r="AF85" i="61" s="1"/>
  <c r="AF86" i="61" s="1"/>
  <c r="AF87" i="61" s="1"/>
  <c r="AF88" i="61" s="1"/>
  <c r="AF89" i="61" s="1"/>
  <c r="AF90" i="61" s="1"/>
  <c r="AF91" i="61" s="1"/>
  <c r="AF92" i="61" s="1"/>
  <c r="AF93" i="61" s="1"/>
  <c r="AF94" i="61" s="1"/>
  <c r="AF95" i="61" s="1"/>
  <c r="AF96" i="61" s="1"/>
  <c r="AF97" i="61" s="1"/>
  <c r="AF98" i="61" s="1"/>
  <c r="AF99" i="61" s="1"/>
  <c r="AF100" i="61" s="1"/>
  <c r="AF101" i="61" s="1"/>
  <c r="AF102" i="61" s="1"/>
  <c r="AF103" i="61" s="1"/>
  <c r="AF104" i="61" s="1"/>
  <c r="AF105" i="61" s="1"/>
  <c r="AF106" i="61" s="1"/>
  <c r="N30" i="77"/>
  <c r="N28" i="77"/>
  <c r="L33" i="77" s="1"/>
  <c r="D11" i="77"/>
  <c r="N5" i="61"/>
  <c r="R5" i="61" s="1"/>
  <c r="V5" i="61" s="1"/>
  <c r="Z5" i="61" s="1"/>
  <c r="AD5" i="61" s="1"/>
  <c r="AH5" i="61" s="1"/>
  <c r="AL5" i="61" s="1"/>
  <c r="L5" i="61"/>
  <c r="P5" i="61" s="1"/>
  <c r="T5" i="61" s="1"/>
  <c r="X5" i="61" s="1"/>
  <c r="AB5" i="61" s="1"/>
  <c r="AF5" i="61" s="1"/>
  <c r="AJ5" i="61" s="1"/>
  <c r="AP5" i="61" s="1"/>
  <c r="BF25" i="61" l="1"/>
  <c r="BD26" i="61" s="1"/>
  <c r="AG75" i="61"/>
  <c r="AE76" i="61" s="1"/>
  <c r="BF26" i="61" l="1"/>
  <c r="BD27" i="61" s="1"/>
  <c r="AG76" i="61"/>
  <c r="AE77" i="61" s="1"/>
  <c r="BF27" i="61" l="1"/>
  <c r="BD28" i="61" s="1"/>
  <c r="AG77" i="61"/>
  <c r="AE78" i="61" s="1"/>
  <c r="BF28" i="61" l="1"/>
  <c r="BD29" i="61" s="1"/>
  <c r="AG78" i="61"/>
  <c r="AE79" i="61" s="1"/>
  <c r="BF29" i="61" l="1"/>
  <c r="BD30" i="61" s="1"/>
  <c r="AG79" i="61"/>
  <c r="AE80" i="61" s="1"/>
  <c r="BF30" i="61" l="1"/>
  <c r="BD31" i="61" s="1"/>
  <c r="AT47" i="61" s="1"/>
  <c r="AV47" i="61" s="1"/>
  <c r="AG80" i="61"/>
  <c r="AE81" i="61" s="1"/>
  <c r="BF31" i="61" l="1"/>
  <c r="BD32" i="61" s="1"/>
  <c r="AG81" i="61"/>
  <c r="AE82" i="61" s="1"/>
  <c r="AQ47" i="61" s="1"/>
  <c r="BF32" i="61" l="1"/>
  <c r="BD33" i="61" s="1"/>
  <c r="AG82" i="61"/>
  <c r="AE83" i="61" s="1"/>
  <c r="BF33" i="61" l="1"/>
  <c r="BD34" i="61" s="1"/>
  <c r="AG83" i="61"/>
  <c r="AE84" i="61" s="1"/>
  <c r="BF34" i="61" l="1"/>
  <c r="BD35" i="61" s="1"/>
  <c r="AG84" i="61"/>
  <c r="AE85" i="61" s="1"/>
  <c r="BF35" i="61" l="1"/>
  <c r="BD36" i="61" s="1"/>
  <c r="AG85" i="61"/>
  <c r="AE86" i="61" s="1"/>
  <c r="BF36" i="61" l="1"/>
  <c r="BD37" i="61" s="1"/>
  <c r="AG86" i="61"/>
  <c r="AE87" i="61" s="1"/>
  <c r="BF37" i="61" l="1"/>
  <c r="BD38" i="61" s="1"/>
  <c r="AG87" i="61"/>
  <c r="AE88" i="61" s="1"/>
  <c r="BF38" i="61" l="1"/>
  <c r="BD39" i="61" s="1"/>
  <c r="AG88" i="61"/>
  <c r="AE89" i="61" s="1"/>
  <c r="BF39" i="61" l="1"/>
  <c r="BD40" i="61" s="1"/>
  <c r="AG89" i="61"/>
  <c r="AE90" i="61" s="1"/>
  <c r="BF40" i="61" l="1"/>
  <c r="BD41" i="61" s="1"/>
  <c r="AG90" i="61"/>
  <c r="AE91" i="61" s="1"/>
  <c r="AG91" i="61" l="1"/>
  <c r="AE92" i="61" s="1"/>
  <c r="AG92" i="61" s="1"/>
  <c r="AE93" i="61" s="1"/>
  <c r="AG93" i="61" s="1"/>
  <c r="AE94" i="61" s="1"/>
  <c r="AG94" i="61" s="1"/>
  <c r="AE95" i="61" s="1"/>
  <c r="AG95" i="61" s="1"/>
  <c r="AE96" i="61" s="1"/>
  <c r="BF41" i="61"/>
  <c r="BD42" i="61" s="1"/>
  <c r="BF42" i="61" s="1"/>
  <c r="BD43" i="61" s="1"/>
  <c r="BF43" i="61" s="1"/>
  <c r="BD44" i="61" s="1"/>
  <c r="BI24" i="61"/>
  <c r="BI25" i="61" s="1"/>
  <c r="BI26" i="61" s="1"/>
  <c r="BI27" i="61" s="1"/>
  <c r="BI28" i="61" s="1"/>
  <c r="K15" i="38"/>
  <c r="K14" i="38"/>
  <c r="K13" i="38"/>
  <c r="K12" i="38"/>
  <c r="K11" i="38"/>
  <c r="K10" i="38"/>
  <c r="K9" i="38"/>
  <c r="K8" i="38"/>
  <c r="K7" i="38"/>
  <c r="K6" i="38"/>
  <c r="K4" i="38"/>
  <c r="D7" i="46"/>
  <c r="AG96" i="61" l="1"/>
  <c r="AE97" i="61" s="1"/>
  <c r="AG97" i="61" s="1"/>
  <c r="AE98" i="61" s="1"/>
  <c r="AG98" i="61" s="1"/>
  <c r="AE99" i="61" s="1"/>
  <c r="AG99" i="61" s="1"/>
  <c r="AE100" i="61" s="1"/>
  <c r="BF44" i="61"/>
  <c r="BD45" i="61" s="1"/>
  <c r="BF45" i="61" s="1"/>
  <c r="BD46" i="61" s="1"/>
  <c r="BI29" i="61"/>
  <c r="BI30" i="61" s="1"/>
  <c r="BI31" i="61" s="1"/>
  <c r="BI32" i="61" s="1"/>
  <c r="BI33" i="61" s="1"/>
  <c r="BI34" i="61" s="1"/>
  <c r="BI35" i="61" s="1"/>
  <c r="BI36" i="61" s="1"/>
  <c r="BI37" i="61" s="1"/>
  <c r="BI38" i="61" s="1"/>
  <c r="BI39" i="61" s="1"/>
  <c r="BI40" i="61" s="1"/>
  <c r="BI41" i="61" s="1"/>
  <c r="BI42" i="61" s="1"/>
  <c r="BI43" i="61" s="1"/>
  <c r="BI44" i="61" s="1"/>
  <c r="BI45" i="61" s="1"/>
  <c r="BI46" i="61" s="1"/>
  <c r="BI47" i="61" s="1"/>
  <c r="BI48" i="61" s="1"/>
  <c r="BI49" i="61" s="1"/>
  <c r="BI50" i="61" s="1"/>
  <c r="BI51" i="61" s="1"/>
  <c r="BI52" i="61" s="1"/>
  <c r="BI53" i="61" s="1"/>
  <c r="BI54" i="61" s="1"/>
  <c r="BI55" i="61" s="1"/>
  <c r="AT55" i="61"/>
  <c r="O72" i="61"/>
  <c r="Q70" i="61" s="1"/>
  <c r="W69" i="61"/>
  <c r="W72" i="61" s="1"/>
  <c r="AL53" i="61"/>
  <c r="AS47" i="61"/>
  <c r="N27" i="61"/>
  <c r="R27" i="61" s="1"/>
  <c r="V27" i="61" s="1"/>
  <c r="Z27" i="61" s="1"/>
  <c r="AD27" i="61" s="1"/>
  <c r="AH27" i="61" s="1"/>
  <c r="AL27" i="61" s="1"/>
  <c r="L27" i="61"/>
  <c r="P27" i="61" s="1"/>
  <c r="T27" i="61" s="1"/>
  <c r="X27" i="61" s="1"/>
  <c r="AB27" i="61" s="1"/>
  <c r="AF27" i="61" s="1"/>
  <c r="AJ27" i="61" s="1"/>
  <c r="AP27" i="61" s="1"/>
  <c r="N25" i="61"/>
  <c r="R25" i="61" s="1"/>
  <c r="V25" i="61" s="1"/>
  <c r="Z25" i="61" s="1"/>
  <c r="AD25" i="61" s="1"/>
  <c r="AH25" i="61" s="1"/>
  <c r="AL25" i="61" s="1"/>
  <c r="L25" i="61"/>
  <c r="P25" i="61" s="1"/>
  <c r="T25" i="61" s="1"/>
  <c r="X25" i="61" s="1"/>
  <c r="AB25" i="61" s="1"/>
  <c r="AF25" i="61" s="1"/>
  <c r="AJ25" i="61" s="1"/>
  <c r="AP25" i="61" s="1"/>
  <c r="N23" i="61"/>
  <c r="R23" i="61" s="1"/>
  <c r="V23" i="61" s="1"/>
  <c r="Z23" i="61" s="1"/>
  <c r="AD23" i="61" s="1"/>
  <c r="AH23" i="61" s="1"/>
  <c r="AL23" i="61" s="1"/>
  <c r="L23" i="61"/>
  <c r="P23" i="61" s="1"/>
  <c r="T23" i="61" s="1"/>
  <c r="X23" i="61" s="1"/>
  <c r="AB23" i="61" s="1"/>
  <c r="AF23" i="61" s="1"/>
  <c r="AJ23" i="61" s="1"/>
  <c r="AP23" i="61" s="1"/>
  <c r="N21" i="61"/>
  <c r="R21" i="61" s="1"/>
  <c r="V21" i="61" s="1"/>
  <c r="Z21" i="61" s="1"/>
  <c r="AD21" i="61" s="1"/>
  <c r="AH21" i="61" s="1"/>
  <c r="AL21" i="61" s="1"/>
  <c r="L21" i="61"/>
  <c r="P21" i="61" s="1"/>
  <c r="T21" i="61" s="1"/>
  <c r="X21" i="61" s="1"/>
  <c r="AB21" i="61" s="1"/>
  <c r="AF21" i="61" s="1"/>
  <c r="AJ21" i="61" s="1"/>
  <c r="AP21" i="61" s="1"/>
  <c r="N17" i="61"/>
  <c r="R17" i="61" s="1"/>
  <c r="V17" i="61" s="1"/>
  <c r="Z17" i="61" s="1"/>
  <c r="AD17" i="61" s="1"/>
  <c r="AH17" i="61" s="1"/>
  <c r="AL17" i="61" s="1"/>
  <c r="L17" i="61"/>
  <c r="P17" i="61" s="1"/>
  <c r="T17" i="61" s="1"/>
  <c r="X17" i="61" s="1"/>
  <c r="AB17" i="61" s="1"/>
  <c r="AF17" i="61" s="1"/>
  <c r="AJ17" i="61" s="1"/>
  <c r="AP17" i="61" s="1"/>
  <c r="N14" i="61"/>
  <c r="R14" i="61" s="1"/>
  <c r="V14" i="61" s="1"/>
  <c r="Z14" i="61" s="1"/>
  <c r="AD14" i="61" s="1"/>
  <c r="AH14" i="61" s="1"/>
  <c r="AL14" i="61" s="1"/>
  <c r="L14" i="61"/>
  <c r="P14" i="61" s="1"/>
  <c r="T14" i="61" s="1"/>
  <c r="X14" i="61" s="1"/>
  <c r="AB14" i="61" s="1"/>
  <c r="AF14" i="61" s="1"/>
  <c r="AJ14" i="61" s="1"/>
  <c r="AP14" i="61" s="1"/>
  <c r="N12" i="61"/>
  <c r="R12" i="61" s="1"/>
  <c r="V12" i="61" s="1"/>
  <c r="Z12" i="61" s="1"/>
  <c r="AD12" i="61" s="1"/>
  <c r="AH12" i="61" s="1"/>
  <c r="AL12" i="61" s="1"/>
  <c r="L12" i="61"/>
  <c r="P12" i="61" s="1"/>
  <c r="T12" i="61" s="1"/>
  <c r="X12" i="61" s="1"/>
  <c r="AB12" i="61" s="1"/>
  <c r="AF12" i="61" s="1"/>
  <c r="AJ12" i="61" s="1"/>
  <c r="AP12" i="61" s="1"/>
  <c r="N10" i="61"/>
  <c r="R10" i="61" s="1"/>
  <c r="V10" i="61" s="1"/>
  <c r="Z10" i="61" s="1"/>
  <c r="AD10" i="61" s="1"/>
  <c r="AH10" i="61" s="1"/>
  <c r="AL10" i="61" s="1"/>
  <c r="L10" i="61"/>
  <c r="P10" i="61" s="1"/>
  <c r="T10" i="61" s="1"/>
  <c r="X10" i="61" s="1"/>
  <c r="AB10" i="61" s="1"/>
  <c r="AF10" i="61" s="1"/>
  <c r="AJ10" i="61" s="1"/>
  <c r="AP10" i="61" s="1"/>
  <c r="AN88" i="61" l="1"/>
  <c r="AA75" i="61"/>
  <c r="AG100" i="61"/>
  <c r="AE101" i="61" s="1"/>
  <c r="AG101" i="61" s="1"/>
  <c r="AE102" i="61" s="1"/>
  <c r="BF46" i="61"/>
  <c r="BD47" i="61" s="1"/>
  <c r="BF47" i="61" s="1"/>
  <c r="BD48" i="61" s="1"/>
  <c r="BF48" i="61" s="1"/>
  <c r="BD49" i="61" s="1"/>
  <c r="BF49" i="61" s="1"/>
  <c r="BD50" i="61" s="1"/>
  <c r="D19" i="17"/>
  <c r="AG102" i="61" l="1"/>
  <c r="AE103" i="61" s="1"/>
  <c r="AG103" i="61" s="1"/>
  <c r="AE104" i="61" s="1"/>
  <c r="BF50" i="61"/>
  <c r="BD51" i="61" s="1"/>
  <c r="L55" i="17"/>
  <c r="AG104" i="61" l="1"/>
  <c r="AE105" i="61" s="1"/>
  <c r="BF51" i="61"/>
  <c r="BD52" i="61" s="1"/>
  <c r="BF52" i="61" s="1"/>
  <c r="BD53" i="61" s="1"/>
  <c r="BF53" i="61" s="1"/>
  <c r="BD54" i="61" s="1"/>
  <c r="BF54" i="61" s="1"/>
  <c r="BD55" i="61" s="1"/>
  <c r="BF55" i="61" s="1"/>
  <c r="AG105" i="61" l="1"/>
  <c r="AE106" i="61" s="1"/>
  <c r="AG106" i="61" s="1"/>
  <c r="L33" i="46"/>
  <c r="D11" i="46"/>
  <c r="D111" i="17"/>
  <c r="L110" i="17"/>
  <c r="L134" i="17"/>
  <c r="L136" i="17" s="1"/>
  <c r="D8" i="46" l="1"/>
  <c r="D10" i="46" s="1"/>
  <c r="D8" i="77"/>
  <c r="D10" i="77" s="1"/>
  <c r="D12" i="77" s="1"/>
  <c r="D14" i="77" s="1"/>
  <c r="D16" i="77" s="1"/>
  <c r="D12" i="46"/>
  <c r="F15" i="38"/>
  <c r="X9" i="34"/>
  <c r="X10" i="34" s="1"/>
  <c r="X11" i="34" s="1"/>
  <c r="X12" i="34" s="1"/>
  <c r="X13" i="34" s="1"/>
  <c r="X14" i="34" s="1"/>
  <c r="X15" i="34" s="1"/>
  <c r="X16" i="34" s="1"/>
  <c r="X17" i="34" s="1"/>
  <c r="X18" i="34" s="1"/>
  <c r="X19" i="34" s="1"/>
  <c r="X20" i="34" s="1"/>
  <c r="X21" i="34" s="1"/>
  <c r="X22" i="34" s="1"/>
  <c r="X23" i="34" s="1"/>
  <c r="X24" i="34" s="1"/>
  <c r="X25" i="34" s="1"/>
  <c r="X26" i="34" s="1"/>
  <c r="X27" i="34" s="1"/>
  <c r="X28" i="34" s="1"/>
  <c r="X29" i="34" s="1"/>
  <c r="Y7" i="34"/>
  <c r="Y6" i="34"/>
  <c r="J17" i="34"/>
  <c r="J18" i="34" s="1"/>
  <c r="J19" i="34" s="1"/>
  <c r="J20" i="34" s="1"/>
  <c r="J16" i="34"/>
  <c r="V18" i="34"/>
  <c r="U18" i="34"/>
  <c r="R18" i="34"/>
  <c r="O18" i="34"/>
  <c r="V17" i="34"/>
  <c r="V16" i="34"/>
  <c r="V15" i="34"/>
  <c r="V13" i="34"/>
  <c r="V12" i="34"/>
  <c r="V11" i="34"/>
  <c r="V10" i="34"/>
  <c r="V8" i="34"/>
  <c r="V7" i="34"/>
  <c r="V6" i="34"/>
  <c r="J13" i="34"/>
  <c r="J12" i="34"/>
  <c r="J11" i="34"/>
  <c r="J10" i="34"/>
  <c r="J8" i="34"/>
  <c r="J7" i="34"/>
  <c r="J6" i="34"/>
  <c r="F14" i="38"/>
  <c r="F13" i="38"/>
  <c r="F12" i="38"/>
  <c r="F11" i="38"/>
  <c r="F10" i="38"/>
  <c r="F9" i="38"/>
  <c r="F8" i="38"/>
  <c r="F7" i="38"/>
  <c r="F6" i="38"/>
  <c r="D4" i="38"/>
  <c r="F4" i="38" s="1"/>
  <c r="D18" i="77" l="1"/>
  <c r="D20" i="77" s="1"/>
  <c r="D22" i="77"/>
  <c r="D23" i="77"/>
  <c r="J13" i="38"/>
  <c r="H13" i="38"/>
  <c r="J15" i="38"/>
  <c r="H15" i="38"/>
  <c r="J7" i="38"/>
  <c r="H7" i="38"/>
  <c r="J6" i="38"/>
  <c r="H6" i="38"/>
  <c r="H9" i="38"/>
  <c r="J9" i="38"/>
  <c r="J10" i="38"/>
  <c r="H10" i="38"/>
  <c r="H11" i="38"/>
  <c r="J11" i="38"/>
  <c r="J4" i="38"/>
  <c r="H4" i="38"/>
  <c r="J14" i="38"/>
  <c r="H14" i="38"/>
  <c r="J8" i="38"/>
  <c r="H8" i="38"/>
  <c r="J12" i="38"/>
  <c r="H12" i="38"/>
  <c r="D14" i="46"/>
  <c r="D16" i="46" s="1"/>
  <c r="D18" i="46" s="1"/>
  <c r="D20" i="46" s="1"/>
  <c r="Y8" i="34"/>
  <c r="D25" i="77" l="1"/>
  <c r="O23" i="77"/>
  <c r="O25" i="77" s="1"/>
  <c r="O27" i="77" s="1"/>
  <c r="H16" i="38"/>
  <c r="J16" i="38"/>
  <c r="D22" i="46"/>
  <c r="D23" i="46" s="1"/>
  <c r="Y9" i="34"/>
  <c r="O29" i="77" l="1"/>
  <c r="O31" i="77" s="1"/>
  <c r="O32" i="77" s="1"/>
  <c r="R27" i="77"/>
  <c r="D27" i="77"/>
  <c r="O33" i="77"/>
  <c r="O39" i="77" s="1"/>
  <c r="O41" i="77" s="1"/>
  <c r="O42" i="77" s="1"/>
  <c r="O43" i="77" s="1"/>
  <c r="D31" i="77"/>
  <c r="D33" i="77" s="1"/>
  <c r="D34" i="77" s="1"/>
  <c r="D35" i="77" s="1"/>
  <c r="O23" i="46"/>
  <c r="O25" i="46" s="1"/>
  <c r="O27" i="46" s="1"/>
  <c r="D25" i="46"/>
  <c r="O33" i="46" s="1"/>
  <c r="O39" i="46" s="1"/>
  <c r="O41" i="46" s="1"/>
  <c r="Y10" i="34"/>
  <c r="O35" i="77" l="1"/>
  <c r="D29" i="77"/>
  <c r="O37" i="77" s="1"/>
  <c r="O42" i="46"/>
  <c r="O43" i="46" s="1"/>
  <c r="O29" i="46"/>
  <c r="O31" i="46" s="1"/>
  <c r="R27" i="46"/>
  <c r="D27" i="46"/>
  <c r="D31" i="46"/>
  <c r="Y11" i="34"/>
  <c r="D29" i="46" l="1"/>
  <c r="O37" i="46" s="1"/>
  <c r="O35" i="46"/>
  <c r="Y12" i="34"/>
  <c r="J72" i="17"/>
  <c r="J73" i="17" s="1"/>
  <c r="J74" i="17" s="1"/>
  <c r="J75" i="17" s="1"/>
  <c r="J76" i="17" s="1"/>
  <c r="J77" i="17" s="1"/>
  <c r="J78" i="17" s="1"/>
  <c r="J79" i="17" s="1"/>
  <c r="J80" i="17" s="1"/>
  <c r="M6" i="17"/>
  <c r="M7" i="17" s="1"/>
  <c r="M8" i="17" s="1"/>
  <c r="J16" i="17"/>
  <c r="H16" i="17"/>
  <c r="T6" i="17"/>
  <c r="T10" i="17" s="1"/>
  <c r="T11" i="17" s="1"/>
  <c r="T12" i="17" s="1"/>
  <c r="T13" i="17" s="1"/>
  <c r="T9" i="17"/>
  <c r="W121" i="17"/>
  <c r="W122" i="17" s="1"/>
  <c r="W123" i="17" s="1"/>
  <c r="W124" i="17" s="1"/>
  <c r="W125" i="17" s="1"/>
  <c r="W126" i="17" s="1"/>
  <c r="W127" i="17" s="1"/>
  <c r="W128" i="17" s="1"/>
  <c r="W129" i="17" s="1"/>
  <c r="W130" i="17" s="1"/>
  <c r="W131" i="17" s="1"/>
  <c r="W132" i="17" s="1"/>
  <c r="W133" i="17" s="1"/>
  <c r="W134" i="17" s="1"/>
  <c r="W135" i="17" s="1"/>
  <c r="Y121" i="17"/>
  <c r="Y122" i="17" s="1"/>
  <c r="Y123" i="17" s="1"/>
  <c r="Y124" i="17" s="1"/>
  <c r="Y125" i="17" s="1"/>
  <c r="Y126" i="17" s="1"/>
  <c r="Y127" i="17" s="1"/>
  <c r="Y128" i="17" s="1"/>
  <c r="Y129" i="17" s="1"/>
  <c r="Y130" i="17" s="1"/>
  <c r="Y131" i="17" s="1"/>
  <c r="Y132" i="17" s="1"/>
  <c r="Y133" i="17" s="1"/>
  <c r="Y134" i="17" s="1"/>
  <c r="Y135" i="17" s="1"/>
  <c r="K113" i="17"/>
  <c r="J113" i="17"/>
  <c r="I113" i="17"/>
  <c r="H113" i="17"/>
  <c r="G113" i="17"/>
  <c r="F113" i="17"/>
  <c r="G55" i="17"/>
  <c r="F53" i="17"/>
  <c r="I56" i="17" s="1"/>
  <c r="T7" i="17" l="1"/>
  <c r="T8" i="17" s="1"/>
  <c r="M9" i="17"/>
  <c r="Y13" i="34"/>
  <c r="J56" i="17"/>
  <c r="K56" i="17"/>
  <c r="H56" i="17"/>
  <c r="L56" i="17" s="1"/>
  <c r="M10" i="17" l="1"/>
  <c r="N9" i="17"/>
  <c r="Y14" i="34"/>
  <c r="M11" i="17" l="1"/>
  <c r="N10" i="17"/>
  <c r="Y15" i="34"/>
  <c r="M12" i="17" l="1"/>
  <c r="N11" i="17"/>
  <c r="Y16" i="34"/>
  <c r="M13" i="17" l="1"/>
  <c r="N12" i="17"/>
  <c r="Y17" i="34"/>
  <c r="M14" i="17" l="1"/>
  <c r="N13" i="17"/>
  <c r="Y18" i="34"/>
  <c r="M15" i="17" l="1"/>
  <c r="N15" i="17" s="1"/>
  <c r="Y19" i="34"/>
  <c r="Y20" i="34" l="1"/>
  <c r="Y21" i="34" l="1"/>
  <c r="Y22" i="34" l="1"/>
  <c r="Y23" i="34" l="1"/>
  <c r="Y24" i="34" l="1"/>
  <c r="Y25" i="34" l="1"/>
  <c r="Y26" i="34" l="1"/>
  <c r="Y27" i="34" l="1"/>
  <c r="Y28" i="34" l="1"/>
  <c r="Y29" i="34" l="1"/>
  <c r="D37" i="32" l="1"/>
  <c r="D38" i="32" s="1"/>
  <c r="D39" i="32" s="1"/>
  <c r="D40" i="32" s="1"/>
  <c r="D41" i="32" s="1"/>
  <c r="D42" i="32" s="1"/>
  <c r="D43" i="32" s="1"/>
  <c r="D44" i="32" s="1"/>
  <c r="D45" i="32" s="1"/>
  <c r="D46" i="32" s="1"/>
  <c r="D47" i="32" s="1"/>
  <c r="D48" i="32" s="1"/>
  <c r="D49" i="32" s="1"/>
  <c r="D50" i="32" s="1"/>
  <c r="D51" i="32" s="1"/>
  <c r="A37" i="32"/>
  <c r="A38" i="32" s="1"/>
  <c r="A39" i="32" s="1"/>
  <c r="A40" i="32" s="1"/>
  <c r="A41" i="32" s="1"/>
  <c r="A42" i="32" s="1"/>
  <c r="A43" i="32" s="1"/>
  <c r="A44" i="32" s="1"/>
  <c r="A45" i="32" s="1"/>
  <c r="A46" i="32" s="1"/>
  <c r="A47" i="32" s="1"/>
  <c r="A48" i="32" s="1"/>
  <c r="A49" i="32" s="1"/>
  <c r="A50" i="32" s="1"/>
  <c r="A51" i="32" s="1"/>
  <c r="K33" i="32"/>
  <c r="K31" i="32"/>
  <c r="K6" i="32"/>
  <c r="K4" i="32"/>
  <c r="A10" i="32"/>
  <c r="A11" i="32" s="1"/>
  <c r="A12" i="32" s="1"/>
  <c r="A13" i="32" s="1"/>
  <c r="A14" i="32" s="1"/>
  <c r="A15" i="32" s="1"/>
  <c r="A16" i="32" s="1"/>
  <c r="A17" i="32" s="1"/>
  <c r="A18" i="32" s="1"/>
  <c r="A19" i="32" s="1"/>
  <c r="A20" i="32" s="1"/>
  <c r="A21" i="32" s="1"/>
  <c r="A22" i="32" s="1"/>
  <c r="A23" i="32" s="1"/>
  <c r="A24" i="32" s="1"/>
  <c r="D9" i="32" s="1"/>
  <c r="D10" i="32" s="1"/>
  <c r="D11" i="32" s="1"/>
  <c r="D12" i="32" s="1"/>
  <c r="D13" i="32" s="1"/>
  <c r="D14" i="32" s="1"/>
  <c r="D15" i="32" s="1"/>
  <c r="D16" i="32" s="1"/>
  <c r="D17" i="32" s="1"/>
  <c r="D18" i="32" s="1"/>
  <c r="D19" i="32" s="1"/>
  <c r="D20" i="32" s="1"/>
  <c r="D21" i="32" s="1"/>
  <c r="D22" i="32" s="1"/>
  <c r="D23" i="32" s="1"/>
  <c r="D24" i="32" s="1"/>
  <c r="O31" i="27" l="1"/>
  <c r="E7" i="31"/>
  <c r="E9" i="31" s="1"/>
  <c r="E11" i="31" s="1"/>
  <c r="E13" i="31" s="1"/>
  <c r="W5" i="17" l="1"/>
  <c r="V6" i="17"/>
  <c r="W6" i="17" l="1"/>
  <c r="X6" i="17" s="1"/>
  <c r="W7" i="17" s="1"/>
  <c r="X5" i="17"/>
  <c r="V7" i="17"/>
  <c r="X7" i="17" l="1"/>
  <c r="W8" i="17" s="1"/>
  <c r="V8" i="17"/>
  <c r="V9" i="17" l="1"/>
  <c r="X8" i="17"/>
  <c r="W9" i="17" s="1"/>
  <c r="X9" i="17" l="1"/>
  <c r="W10" i="17" s="1"/>
  <c r="V10" i="17"/>
  <c r="X10" i="17" l="1"/>
  <c r="W11" i="17" s="1"/>
  <c r="V11" i="17"/>
  <c r="X11" i="17" l="1"/>
  <c r="W12" i="17" s="1"/>
  <c r="V12" i="17"/>
  <c r="X12" i="17" l="1"/>
  <c r="W13" i="17" s="1"/>
  <c r="V13" i="17"/>
  <c r="X13" i="17" l="1"/>
  <c r="W14" i="17" s="1"/>
  <c r="V14" i="17"/>
  <c r="X14" i="17" l="1"/>
  <c r="W15" i="17" s="1"/>
  <c r="V15" i="17"/>
  <c r="X15" i="17" l="1"/>
  <c r="W16" i="17" s="1"/>
  <c r="V16" i="17"/>
  <c r="V17" i="17" l="1"/>
  <c r="X16" i="17"/>
  <c r="W17" i="17" s="1"/>
  <c r="X17" i="17" l="1"/>
  <c r="W18" i="17" s="1"/>
  <c r="V18" i="17"/>
  <c r="X18" i="17" l="1"/>
  <c r="W19" i="17" s="1"/>
  <c r="V19" i="17"/>
  <c r="X19" i="17" l="1"/>
  <c r="W20" i="17" s="1"/>
  <c r="V20" i="17"/>
  <c r="X20" i="17" l="1"/>
  <c r="I27" i="27" l="1"/>
  <c r="AM6" i="27"/>
  <c r="AM7" i="27" s="1"/>
  <c r="AM8" i="27" s="1"/>
  <c r="AM9" i="27" s="1"/>
  <c r="AM10" i="27" s="1"/>
  <c r="AM11" i="27" s="1"/>
  <c r="AM12" i="27" s="1"/>
  <c r="AM13" i="27" s="1"/>
  <c r="AM14" i="27" s="1"/>
  <c r="AM15" i="27" s="1"/>
  <c r="AM16" i="27" s="1"/>
  <c r="AM17" i="27" s="1"/>
  <c r="AM18" i="27" s="1"/>
  <c r="AM19" i="27" s="1"/>
  <c r="AM20" i="27" s="1"/>
  <c r="AM21" i="27" s="1"/>
  <c r="AM22" i="27" s="1"/>
  <c r="AM23" i="27" s="1"/>
  <c r="AM24" i="27" s="1"/>
  <c r="AM25" i="27" s="1"/>
  <c r="AM26" i="27" s="1"/>
  <c r="AB17" i="27"/>
  <c r="AK17" i="27"/>
  <c r="AH17" i="27"/>
  <c r="AE17" i="27"/>
  <c r="U30" i="27"/>
  <c r="L31" i="27"/>
  <c r="R32" i="27"/>
  <c r="F11" i="27" l="1"/>
  <c r="F10" i="27"/>
  <c r="F9" i="27"/>
  <c r="F8" i="27"/>
  <c r="F7" i="27"/>
  <c r="F6" i="27"/>
  <c r="F5" i="27"/>
  <c r="F4" i="27"/>
  <c r="Q7" i="26"/>
  <c r="F23" i="27" l="1"/>
  <c r="T5" i="26"/>
  <c r="T6" i="26" s="1"/>
  <c r="T7" i="26" s="1"/>
  <c r="T8" i="26" s="1"/>
  <c r="T9" i="26" s="1"/>
  <c r="T10" i="26" s="1"/>
  <c r="T11" i="26" s="1"/>
  <c r="T12" i="26" s="1"/>
  <c r="T13" i="26" s="1"/>
  <c r="T14" i="26" s="1"/>
  <c r="T15" i="26" s="1"/>
  <c r="T16" i="26" s="1"/>
  <c r="Q10" i="26"/>
  <c r="Q13" i="26" s="1"/>
  <c r="F13" i="26"/>
  <c r="F7" i="26"/>
  <c r="F15" i="26"/>
  <c r="F14" i="26"/>
  <c r="F9" i="26"/>
  <c r="F8" i="26"/>
  <c r="AR26" i="20" l="1"/>
  <c r="AJ22" i="20" l="1"/>
  <c r="AF22" i="20"/>
  <c r="AB22" i="20"/>
  <c r="X22" i="20"/>
  <c r="T22" i="20"/>
  <c r="P22" i="20"/>
  <c r="L22" i="20"/>
  <c r="F24" i="19" l="1"/>
  <c r="F22" i="19"/>
  <c r="F16" i="19"/>
  <c r="C11" i="19"/>
  <c r="F9" i="19"/>
  <c r="E11" i="19" s="1"/>
  <c r="G11" i="19" l="1"/>
  <c r="E13" i="19" s="1"/>
  <c r="E15" i="19" s="1"/>
  <c r="F17" i="19"/>
  <c r="F18" i="19" s="1"/>
  <c r="D126" i="17"/>
  <c r="N117" i="17"/>
  <c r="N118" i="17" s="1"/>
  <c r="N119" i="17" s="1"/>
  <c r="N120" i="17" s="1"/>
  <c r="M113" i="17"/>
  <c r="L111" i="17"/>
  <c r="F60" i="17"/>
  <c r="F62" i="17" s="1"/>
  <c r="G62" i="17" s="1"/>
  <c r="D10" i="17"/>
  <c r="D14" i="17" s="1"/>
  <c r="D9" i="17"/>
  <c r="D13" i="17" s="1"/>
  <c r="D16" i="17" s="1"/>
  <c r="F35" i="19" l="1"/>
  <c r="I9" i="17"/>
  <c r="I14" i="17"/>
  <c r="L14" i="17" s="1"/>
  <c r="N14" i="17" s="1"/>
  <c r="I15" i="17"/>
  <c r="I6" i="17"/>
  <c r="L6" i="17" s="1"/>
  <c r="N6" i="17" s="1"/>
  <c r="I13" i="17"/>
  <c r="I5" i="17"/>
  <c r="L5" i="17" s="1"/>
  <c r="N5" i="17" s="1"/>
  <c r="I11" i="17"/>
  <c r="I10" i="17"/>
  <c r="I8" i="17"/>
  <c r="L8" i="17" s="1"/>
  <c r="N8" i="17" s="1"/>
  <c r="I7" i="17"/>
  <c r="L7" i="17" s="1"/>
  <c r="N7" i="17" s="1"/>
  <c r="I12" i="17"/>
  <c r="H66" i="17"/>
  <c r="K66" i="17" l="1"/>
  <c r="N16" i="17"/>
  <c r="I16" i="17"/>
  <c r="D134" i="17" l="1"/>
  <c r="D27" i="17"/>
  <c r="G47" i="10" l="1"/>
  <c r="D56" i="10"/>
  <c r="I55" i="10"/>
  <c r="K70" i="10"/>
  <c r="G44" i="10"/>
  <c r="D25" i="10"/>
  <c r="D9" i="10"/>
  <c r="D6" i="10" s="1"/>
  <c r="I24" i="10"/>
  <c r="G33" i="10"/>
  <c r="K33" i="10" s="1"/>
  <c r="D71" i="10" s="1"/>
  <c r="G71" i="10" s="1"/>
  <c r="K71" i="10" s="1"/>
  <c r="G34" i="10"/>
  <c r="K34" i="10" s="1"/>
  <c r="D72" i="10" s="1"/>
  <c r="G72" i="10" s="1"/>
  <c r="K72" i="10" s="1"/>
  <c r="G31" i="10"/>
  <c r="K31" i="10" s="1"/>
  <c r="D70" i="10" s="1"/>
  <c r="G70" i="10" s="1"/>
  <c r="G32" i="10"/>
  <c r="D38" i="10"/>
  <c r="D74" i="10" s="1"/>
  <c r="D12" i="10"/>
  <c r="D14" i="10" s="1"/>
  <c r="P15" i="8"/>
  <c r="P17" i="8" s="1"/>
  <c r="O15" i="8"/>
  <c r="O17" i="8" s="1"/>
  <c r="L13" i="8"/>
  <c r="N15" i="8"/>
  <c r="N17" i="8" s="1"/>
  <c r="G22" i="8"/>
  <c r="E7" i="8"/>
  <c r="E8" i="8" s="1"/>
  <c r="E9" i="8" s="1"/>
  <c r="E10" i="8" s="1"/>
  <c r="L9" i="8"/>
  <c r="O9" i="8" s="1"/>
  <c r="Q9" i="8" s="1"/>
  <c r="I6" i="8"/>
  <c r="J22" i="8"/>
  <c r="J24" i="8" s="1"/>
  <c r="I21" i="8"/>
  <c r="I20" i="8"/>
  <c r="I19" i="8"/>
  <c r="I18" i="8"/>
  <c r="I17" i="8"/>
  <c r="I16" i="8"/>
  <c r="I15" i="8"/>
  <c r="I14" i="8"/>
  <c r="I13" i="8"/>
  <c r="I12" i="8"/>
  <c r="I11" i="8"/>
  <c r="I10" i="8"/>
  <c r="I9" i="8"/>
  <c r="I8" i="8"/>
  <c r="I7" i="8"/>
  <c r="D22" i="8"/>
  <c r="C7" i="8"/>
  <c r="C8" i="8" s="1"/>
  <c r="C9" i="8" s="1"/>
  <c r="C10" i="8" s="1"/>
  <c r="C11" i="8" s="1"/>
  <c r="C12" i="8" s="1"/>
  <c r="C13" i="8" s="1"/>
  <c r="C14" i="8" s="1"/>
  <c r="C15" i="8" s="1"/>
  <c r="C16" i="8" s="1"/>
  <c r="C17" i="8" s="1"/>
  <c r="C18" i="8" s="1"/>
  <c r="C19" i="8" s="1"/>
  <c r="C20" i="8" s="1"/>
  <c r="C21" i="8" s="1"/>
  <c r="C33" i="8"/>
  <c r="D73" i="10" l="1"/>
  <c r="I47" i="10"/>
  <c r="K47" i="10" s="1"/>
  <c r="I32" i="10"/>
  <c r="K32" i="10" s="1"/>
  <c r="K35" i="10" s="1"/>
  <c r="I22" i="8"/>
  <c r="I24" i="8" s="1"/>
  <c r="E11" i="8"/>
  <c r="E12" i="8" s="1"/>
  <c r="E13" i="8" s="1"/>
  <c r="E14" i="8" s="1"/>
  <c r="E15" i="8" s="1"/>
  <c r="E16" i="8" s="1"/>
  <c r="E17" i="8" s="1"/>
  <c r="E18" i="8" s="1"/>
  <c r="E19" i="8" s="1"/>
  <c r="E20" i="8" s="1"/>
  <c r="E21" i="8" s="1"/>
  <c r="E22" i="8" s="1"/>
  <c r="L22" i="8" l="1"/>
  <c r="L5" i="8" s="1"/>
  <c r="O6" i="8" s="1"/>
  <c r="O10" i="8" s="1"/>
  <c r="E24" i="8"/>
  <c r="N18" i="8"/>
  <c r="G69" i="10"/>
  <c r="Q6" i="8" l="1"/>
  <c r="Q10" i="8" s="1"/>
  <c r="N19" i="8"/>
  <c r="O18" i="8"/>
  <c r="O19" i="8" s="1"/>
  <c r="P18" i="8"/>
  <c r="P19" i="8" s="1"/>
  <c r="G73" i="10"/>
  <c r="D75" i="10" s="1"/>
  <c r="I69" i="10"/>
  <c r="K69" i="10" s="1"/>
  <c r="D40" i="10"/>
  <c r="D43" i="10" s="1"/>
  <c r="G43" i="10" s="1"/>
  <c r="G45" i="10" s="1"/>
  <c r="D45" i="10" s="1"/>
  <c r="K37" i="10"/>
  <c r="AB17" i="4" l="1"/>
  <c r="AD9" i="4"/>
  <c r="AD10" i="4" s="1"/>
  <c r="AD11" i="4" s="1"/>
  <c r="AD12" i="4" s="1"/>
  <c r="AD13" i="4" s="1"/>
  <c r="AD14" i="4" s="1"/>
  <c r="AD15" i="4" s="1"/>
  <c r="AD16" i="4" s="1"/>
  <c r="AD17" i="4" s="1"/>
  <c r="AD8" i="4"/>
  <c r="F14" i="4"/>
  <c r="G12" i="4"/>
  <c r="G11" i="4"/>
  <c r="G14" i="4" s="1"/>
  <c r="H14" i="4" s="1"/>
  <c r="AC6" i="4" s="1"/>
  <c r="AC7" i="4" s="1"/>
  <c r="AC8" i="4" s="1"/>
  <c r="AC9" i="4" s="1"/>
  <c r="AC10" i="4" s="1"/>
  <c r="AC11" i="4" s="1"/>
  <c r="AC12" i="4" s="1"/>
  <c r="AC13" i="4" s="1"/>
  <c r="AC14" i="4" s="1"/>
  <c r="Y12" i="4"/>
  <c r="Y11" i="4"/>
  <c r="Y10" i="4"/>
  <c r="Y9" i="4"/>
  <c r="Y8" i="4"/>
  <c r="Y7" i="4"/>
  <c r="Y6" i="4"/>
  <c r="V7" i="4"/>
  <c r="V8" i="4" s="1"/>
  <c r="V9" i="4" s="1"/>
  <c r="V10" i="4" s="1"/>
  <c r="V11" i="4" s="1"/>
  <c r="V12" i="4" s="1"/>
  <c r="W12" i="4" l="1"/>
  <c r="X12" i="4" s="1"/>
  <c r="Z12" i="4" s="1"/>
  <c r="S12" i="4"/>
  <c r="Q12" i="4"/>
  <c r="O12" i="4"/>
  <c r="I12" i="4"/>
  <c r="I11" i="4"/>
  <c r="K13" i="4"/>
  <c r="K12" i="4"/>
  <c r="K11" i="4"/>
  <c r="K10" i="4"/>
  <c r="K9" i="4"/>
  <c r="M13" i="4"/>
  <c r="M12" i="4"/>
  <c r="M11" i="4"/>
  <c r="N11" i="4" s="1"/>
  <c r="O11" i="4" s="1"/>
  <c r="Q11" i="4" s="1"/>
  <c r="M10" i="4"/>
  <c r="N10" i="4" s="1"/>
  <c r="O10" i="4" s="1"/>
  <c r="Q10" i="4" s="1"/>
  <c r="M9" i="4"/>
  <c r="N9" i="4" s="1"/>
  <c r="O9" i="4" s="1"/>
  <c r="Q9" i="4" s="1"/>
  <c r="M8" i="4"/>
  <c r="N8" i="4" s="1"/>
  <c r="O8" i="4" s="1"/>
  <c r="Q8" i="4" s="1"/>
  <c r="M7" i="4"/>
  <c r="N7" i="4" s="1"/>
  <c r="O7" i="4" s="1"/>
  <c r="Q7" i="4" s="1"/>
  <c r="M6" i="4"/>
  <c r="N6" i="4" s="1"/>
  <c r="O6" i="4" s="1"/>
  <c r="Q6" i="4" s="1"/>
  <c r="K8" i="4"/>
  <c r="K7" i="4"/>
  <c r="K6" i="4"/>
  <c r="S10" i="4" l="1"/>
  <c r="W10" i="4"/>
  <c r="X10" i="4" s="1"/>
  <c r="Z10" i="4" s="1"/>
  <c r="W7" i="4"/>
  <c r="X7" i="4" s="1"/>
  <c r="Z7" i="4" s="1"/>
  <c r="S7" i="4"/>
  <c r="S9" i="4"/>
  <c r="W9" i="4"/>
  <c r="X9" i="4" s="1"/>
  <c r="Z9" i="4" s="1"/>
  <c r="S11" i="4"/>
  <c r="W11" i="4"/>
  <c r="X11" i="4" s="1"/>
  <c r="Z11" i="4" s="1"/>
  <c r="W6" i="4"/>
  <c r="X6" i="4" s="1"/>
  <c r="Z6" i="4" s="1"/>
  <c r="S6" i="4"/>
  <c r="W8" i="4"/>
  <c r="X8" i="4" s="1"/>
  <c r="Z8" i="4" s="1"/>
  <c r="S8" i="4"/>
  <c r="K14" i="4"/>
  <c r="I14" i="4"/>
  <c r="M14" i="4"/>
  <c r="Q14" i="4" s="1"/>
  <c r="Z14" i="4" l="1"/>
  <c r="S14" i="4"/>
  <c r="T14" i="4"/>
  <c r="AE6" i="4" l="1"/>
  <c r="T16" i="4"/>
  <c r="T17" i="4" s="1"/>
  <c r="Z16" i="4"/>
  <c r="AF6" i="4" l="1"/>
  <c r="AE7" i="4"/>
  <c r="AH6" i="4"/>
  <c r="AI6" i="4" s="1"/>
  <c r="AG6" i="4"/>
  <c r="C6" i="1"/>
  <c r="C7" i="1" s="1"/>
  <c r="C8" i="1" s="1"/>
  <c r="C9" i="1" s="1"/>
  <c r="C10" i="1" s="1"/>
  <c r="C11" i="1" s="1"/>
  <c r="C12" i="1" s="1"/>
  <c r="C13" i="1" s="1"/>
  <c r="C14" i="1" s="1"/>
  <c r="C15" i="1" s="1"/>
  <c r="AJ6" i="4" l="1"/>
  <c r="C16" i="1"/>
  <c r="C17" i="1" s="1"/>
  <c r="C18" i="1" s="1"/>
  <c r="C19" i="1" s="1"/>
  <c r="C20" i="1" s="1"/>
  <c r="C21" i="1" s="1"/>
  <c r="C22" i="1" s="1"/>
  <c r="C23" i="1" s="1"/>
  <c r="C24" i="1" s="1"/>
  <c r="DV20" i="112"/>
  <c r="BJ20" i="113"/>
  <c r="Y7" i="8"/>
  <c r="Z7" i="8" s="1"/>
  <c r="H10" i="1"/>
  <c r="J10" i="1" s="1"/>
  <c r="L10" i="1" s="1"/>
  <c r="N10" i="1" s="1"/>
  <c r="AH7" i="4"/>
  <c r="AI7" i="4" s="1"/>
  <c r="AE8" i="4"/>
  <c r="AE9" i="4" s="1"/>
  <c r="AE10" i="4" s="1"/>
  <c r="AE11" i="4" s="1"/>
  <c r="AE12" i="4" s="1"/>
  <c r="AE13" i="4" s="1"/>
  <c r="AE14" i="4" s="1"/>
  <c r="AF7" i="4"/>
  <c r="AG7" i="4"/>
  <c r="AJ7" i="4"/>
  <c r="BJ29" i="113" l="1"/>
  <c r="BJ36" i="113"/>
  <c r="BJ38" i="113"/>
  <c r="BJ30" i="113"/>
  <c r="BJ32" i="113"/>
  <c r="BJ35" i="113"/>
  <c r="BJ23" i="113"/>
  <c r="BL23" i="113" s="1"/>
  <c r="BO23" i="113" s="1"/>
  <c r="BJ25" i="113"/>
  <c r="BL25" i="113" s="1"/>
  <c r="BJ24" i="113"/>
  <c r="BL24" i="113" s="1"/>
  <c r="BO24" i="113" s="1"/>
  <c r="BL20" i="113"/>
  <c r="BO20" i="113" s="1"/>
  <c r="BJ27" i="113"/>
  <c r="BL27" i="113" s="1"/>
  <c r="BJ33" i="113"/>
  <c r="BJ26" i="113"/>
  <c r="BL26" i="113" s="1"/>
  <c r="BJ28" i="113"/>
  <c r="BL28" i="113" s="1"/>
  <c r="BJ34" i="113"/>
  <c r="BJ37" i="113"/>
  <c r="BJ31" i="113"/>
  <c r="DV29" i="112"/>
  <c r="DV26" i="112"/>
  <c r="DX26" i="112" s="1"/>
  <c r="DV31" i="112"/>
  <c r="DX20" i="112"/>
  <c r="EA20" i="112" s="1"/>
  <c r="DV37" i="112"/>
  <c r="DV24" i="112"/>
  <c r="DX24" i="112" s="1"/>
  <c r="EA24" i="112" s="1"/>
  <c r="DV38" i="112"/>
  <c r="DV28" i="112"/>
  <c r="DX28" i="112" s="1"/>
  <c r="DV33" i="112"/>
  <c r="DV35" i="112"/>
  <c r="DV30" i="112"/>
  <c r="DV23" i="112"/>
  <c r="DX23" i="112" s="1"/>
  <c r="EA23" i="112" s="1"/>
  <c r="DV25" i="112"/>
  <c r="DX25" i="112" s="1"/>
  <c r="DV36" i="112"/>
  <c r="DV27" i="112"/>
  <c r="DX27" i="112" s="1"/>
  <c r="DV34" i="112"/>
  <c r="DV32" i="112"/>
  <c r="H11" i="1"/>
  <c r="J11" i="1" s="1"/>
  <c r="L11" i="1" s="1"/>
  <c r="N11" i="1" s="1"/>
  <c r="DV48" i="112" l="1"/>
  <c r="DX48" i="112" s="1"/>
  <c r="DX38" i="112"/>
  <c r="BJ47" i="113"/>
  <c r="BL47" i="113" s="1"/>
  <c r="BL37" i="113"/>
  <c r="DV46" i="112"/>
  <c r="DX46" i="112" s="1"/>
  <c r="DX36" i="112"/>
  <c r="EH25" i="112"/>
  <c r="EA25" i="112"/>
  <c r="EC25" i="112" s="1"/>
  <c r="ED25" i="112" s="1"/>
  <c r="EF25" i="112" s="1"/>
  <c r="DX37" i="112"/>
  <c r="DV47" i="112"/>
  <c r="DX47" i="112" s="1"/>
  <c r="BV28" i="113"/>
  <c r="BO28" i="113"/>
  <c r="BQ28" i="113" s="1"/>
  <c r="BL35" i="113"/>
  <c r="BJ45" i="113"/>
  <c r="BO26" i="113"/>
  <c r="BQ26" i="113" s="1"/>
  <c r="BV26" i="113"/>
  <c r="BL32" i="113"/>
  <c r="BJ42" i="113"/>
  <c r="DV40" i="112"/>
  <c r="DX30" i="112"/>
  <c r="DV41" i="112"/>
  <c r="DX31" i="112"/>
  <c r="BL33" i="113"/>
  <c r="BJ43" i="113"/>
  <c r="BL30" i="113"/>
  <c r="BJ40" i="113"/>
  <c r="EA27" i="112"/>
  <c r="EC27" i="112" s="1"/>
  <c r="EH27" i="112"/>
  <c r="BO25" i="113"/>
  <c r="BQ25" i="113" s="1"/>
  <c r="BV25" i="113"/>
  <c r="BJ44" i="113"/>
  <c r="BL34" i="113"/>
  <c r="DV45" i="112"/>
  <c r="DX35" i="112"/>
  <c r="EH26" i="112"/>
  <c r="EA26" i="112"/>
  <c r="EC26" i="112" s="1"/>
  <c r="BV27" i="113"/>
  <c r="BO27" i="113"/>
  <c r="BQ27" i="113" s="1"/>
  <c r="BJ48" i="113"/>
  <c r="BL48" i="113" s="1"/>
  <c r="BL38" i="113"/>
  <c r="DX32" i="112"/>
  <c r="DV42" i="112"/>
  <c r="DX33" i="112"/>
  <c r="DV43" i="112"/>
  <c r="DV39" i="112"/>
  <c r="DX29" i="112"/>
  <c r="BL36" i="113"/>
  <c r="BJ46" i="113"/>
  <c r="BL46" i="113" s="1"/>
  <c r="DX34" i="112"/>
  <c r="DV44" i="112"/>
  <c r="EA28" i="112"/>
  <c r="EC28" i="112" s="1"/>
  <c r="EH28" i="112"/>
  <c r="BJ41" i="113"/>
  <c r="BL31" i="113"/>
  <c r="BL29" i="113"/>
  <c r="BJ39" i="113"/>
  <c r="H12" i="1"/>
  <c r="J12" i="1" s="1"/>
  <c r="L12" i="1" s="1"/>
  <c r="N12" i="1" s="1"/>
  <c r="BL39" i="113" l="1"/>
  <c r="BJ49" i="113"/>
  <c r="BL49" i="113" s="1"/>
  <c r="BO36" i="113"/>
  <c r="BQ36" i="113" s="1"/>
  <c r="BV36" i="113"/>
  <c r="BL44" i="113"/>
  <c r="BJ54" i="113"/>
  <c r="BL54" i="113" s="1"/>
  <c r="EH31" i="112"/>
  <c r="EA31" i="112"/>
  <c r="EC31" i="112" s="1"/>
  <c r="EH36" i="112"/>
  <c r="EA36" i="112"/>
  <c r="EC36" i="112" s="1"/>
  <c r="DV49" i="112"/>
  <c r="DX49" i="112" s="1"/>
  <c r="DX39" i="112"/>
  <c r="BR25" i="113"/>
  <c r="BT25" i="113" s="1"/>
  <c r="DV51" i="112"/>
  <c r="DX51" i="112" s="1"/>
  <c r="DX41" i="112"/>
  <c r="BO35" i="113"/>
  <c r="BQ35" i="113" s="1"/>
  <c r="BV35" i="113"/>
  <c r="EA46" i="112"/>
  <c r="EC46" i="112" s="1"/>
  <c r="EH46" i="112"/>
  <c r="DX43" i="112"/>
  <c r="DV53" i="112"/>
  <c r="DX53" i="112" s="1"/>
  <c r="ED26" i="112"/>
  <c r="EA30" i="112"/>
  <c r="EC30" i="112" s="1"/>
  <c r="EH30" i="112"/>
  <c r="BV37" i="113"/>
  <c r="BO37" i="113"/>
  <c r="BQ37" i="113" s="1"/>
  <c r="BO46" i="113"/>
  <c r="BQ46" i="113" s="1"/>
  <c r="BV46" i="113"/>
  <c r="BO38" i="113"/>
  <c r="BQ38" i="113" s="1"/>
  <c r="BV38" i="113"/>
  <c r="BO34" i="113"/>
  <c r="BQ34" i="113" s="1"/>
  <c r="BV34" i="113"/>
  <c r="BJ53" i="113"/>
  <c r="BL53" i="113" s="1"/>
  <c r="BL43" i="113"/>
  <c r="BV29" i="113"/>
  <c r="BO29" i="113"/>
  <c r="BQ29" i="113" s="1"/>
  <c r="BV48" i="113"/>
  <c r="BO48" i="113"/>
  <c r="BQ48" i="113" s="1"/>
  <c r="BV33" i="113"/>
  <c r="BO33" i="113"/>
  <c r="BQ33" i="113" s="1"/>
  <c r="BO31" i="113"/>
  <c r="BV31" i="113"/>
  <c r="EA29" i="112"/>
  <c r="EC29" i="112" s="1"/>
  <c r="EH29" i="112"/>
  <c r="BL45" i="113"/>
  <c r="BJ55" i="113"/>
  <c r="BL55" i="113" s="1"/>
  <c r="BJ51" i="113"/>
  <c r="BL51" i="113" s="1"/>
  <c r="BL41" i="113"/>
  <c r="EA33" i="112"/>
  <c r="EC33" i="112" s="1"/>
  <c r="EH33" i="112"/>
  <c r="DV50" i="112"/>
  <c r="DX50" i="112" s="1"/>
  <c r="DX40" i="112"/>
  <c r="BO47" i="113"/>
  <c r="BQ47" i="113" s="1"/>
  <c r="BV47" i="113"/>
  <c r="DV54" i="112"/>
  <c r="DX54" i="112" s="1"/>
  <c r="DX44" i="112"/>
  <c r="DV52" i="112"/>
  <c r="DX52" i="112" s="1"/>
  <c r="DX42" i="112"/>
  <c r="EA35" i="112"/>
  <c r="EC35" i="112" s="1"/>
  <c r="EH35" i="112"/>
  <c r="BJ50" i="113"/>
  <c r="BL50" i="113" s="1"/>
  <c r="BL40" i="113"/>
  <c r="BL42" i="113"/>
  <c r="BJ52" i="113"/>
  <c r="BL52" i="113" s="1"/>
  <c r="EA47" i="112"/>
  <c r="EC47" i="112" s="1"/>
  <c r="EH47" i="112"/>
  <c r="EH38" i="112"/>
  <c r="EA38" i="112"/>
  <c r="EC38" i="112" s="1"/>
  <c r="EH34" i="112"/>
  <c r="EA34" i="112"/>
  <c r="EC34" i="112" s="1"/>
  <c r="EA32" i="112"/>
  <c r="EC32" i="112" s="1"/>
  <c r="EH32" i="112"/>
  <c r="DV55" i="112"/>
  <c r="DX55" i="112" s="1"/>
  <c r="DX45" i="112"/>
  <c r="BV30" i="113"/>
  <c r="BO30" i="113"/>
  <c r="BQ30" i="113" s="1"/>
  <c r="BO32" i="113"/>
  <c r="BQ32" i="113" s="1"/>
  <c r="BV32" i="113"/>
  <c r="EA37" i="112"/>
  <c r="EC37" i="112" s="1"/>
  <c r="EH37" i="112"/>
  <c r="EH48" i="112"/>
  <c r="EA48" i="112"/>
  <c r="EC48" i="112" s="1"/>
  <c r="H13" i="1"/>
  <c r="BR26" i="113" l="1"/>
  <c r="BO45" i="113"/>
  <c r="BQ45" i="113" s="1"/>
  <c r="BV45" i="113"/>
  <c r="EH50" i="112"/>
  <c r="EA50" i="112"/>
  <c r="EC50" i="112" s="1"/>
  <c r="EH53" i="112"/>
  <c r="EA53" i="112"/>
  <c r="EC53" i="112" s="1"/>
  <c r="EA45" i="112"/>
  <c r="EC45" i="112" s="1"/>
  <c r="EH45" i="112"/>
  <c r="EH42" i="112"/>
  <c r="EA42" i="112"/>
  <c r="EC42" i="112" s="1"/>
  <c r="EH43" i="112"/>
  <c r="EA43" i="112"/>
  <c r="EC43" i="112" s="1"/>
  <c r="EH39" i="112"/>
  <c r="EA39" i="112"/>
  <c r="EC39" i="112" s="1"/>
  <c r="BO54" i="113"/>
  <c r="BQ54" i="113" s="1"/>
  <c r="BV54" i="113"/>
  <c r="EA55" i="112"/>
  <c r="EC55" i="112" s="1"/>
  <c r="EH55" i="112"/>
  <c r="EH52" i="112"/>
  <c r="EA52" i="112"/>
  <c r="EC52" i="112" s="1"/>
  <c r="BO43" i="113"/>
  <c r="BQ43" i="113" s="1"/>
  <c r="BV43" i="113"/>
  <c r="EH49" i="112"/>
  <c r="EA49" i="112"/>
  <c r="EC49" i="112" s="1"/>
  <c r="BO44" i="113"/>
  <c r="BQ44" i="113" s="1"/>
  <c r="BV44" i="113"/>
  <c r="BV52" i="113"/>
  <c r="BO52" i="113"/>
  <c r="BQ52" i="113" s="1"/>
  <c r="EH44" i="112"/>
  <c r="EA44" i="112"/>
  <c r="EC44" i="112" s="1"/>
  <c r="AP35" i="113"/>
  <c r="BQ31" i="113"/>
  <c r="BO53" i="113"/>
  <c r="BQ53" i="113" s="1"/>
  <c r="BV53" i="113"/>
  <c r="EA40" i="112"/>
  <c r="EC40" i="112" s="1"/>
  <c r="EH40" i="112"/>
  <c r="ED27" i="112"/>
  <c r="EF26" i="112"/>
  <c r="EA51" i="112"/>
  <c r="EC51" i="112" s="1"/>
  <c r="EH51" i="112"/>
  <c r="J13" i="1"/>
  <c r="L13" i="1" s="1"/>
  <c r="N13" i="1" s="1"/>
  <c r="L27" i="1"/>
  <c r="N27" i="1" s="1"/>
  <c r="N30" i="1" s="1"/>
  <c r="BV42" i="113"/>
  <c r="BO42" i="113"/>
  <c r="BQ42" i="113" s="1"/>
  <c r="EA54" i="112"/>
  <c r="EC54" i="112" s="1"/>
  <c r="EH54" i="112"/>
  <c r="BO41" i="113"/>
  <c r="BQ41" i="113" s="1"/>
  <c r="BV41" i="113"/>
  <c r="BV40" i="113"/>
  <c r="BO40" i="113"/>
  <c r="BQ40" i="113" s="1"/>
  <c r="BV51" i="113"/>
  <c r="BO51" i="113"/>
  <c r="BQ51" i="113" s="1"/>
  <c r="BV49" i="113"/>
  <c r="BO49" i="113"/>
  <c r="BQ49" i="113" s="1"/>
  <c r="BO50" i="113"/>
  <c r="BQ50" i="113" s="1"/>
  <c r="BV50" i="113"/>
  <c r="BO55" i="113"/>
  <c r="BQ55" i="113" s="1"/>
  <c r="BV55" i="113"/>
  <c r="EA41" i="112"/>
  <c r="EC41" i="112" s="1"/>
  <c r="EH41" i="112"/>
  <c r="BO39" i="113"/>
  <c r="BQ39" i="113" s="1"/>
  <c r="BV39" i="113"/>
  <c r="H14" i="1"/>
  <c r="J14" i="1" s="1"/>
  <c r="L14" i="1" s="1"/>
  <c r="N14" i="1" s="1"/>
  <c r="F87" i="17"/>
  <c r="F89" i="17" s="1"/>
  <c r="F94" i="17" s="1"/>
  <c r="F63" i="17"/>
  <c r="F64" i="17" s="1"/>
  <c r="F66" i="17" s="1"/>
  <c r="G66" i="17" s="1"/>
  <c r="H72" i="17" s="1"/>
  <c r="C53" i="20" s="1"/>
  <c r="BT26" i="113" l="1"/>
  <c r="BR27" i="113"/>
  <c r="EF27" i="112"/>
  <c r="ED28" i="112"/>
  <c r="CP20" i="102"/>
  <c r="CP20" i="101"/>
  <c r="CP20" i="98"/>
  <c r="BZ20" i="96"/>
  <c r="DV20" i="105"/>
  <c r="CP20" i="100"/>
  <c r="BZ20" i="97"/>
  <c r="CP20" i="104"/>
  <c r="BJ20" i="92"/>
  <c r="DV20" i="107"/>
  <c r="BR20" i="94"/>
  <c r="DV20" i="106"/>
  <c r="BR20" i="95"/>
  <c r="BJ20" i="93"/>
  <c r="BJ20" i="89"/>
  <c r="BJ20" i="61"/>
  <c r="D5" i="34"/>
  <c r="D6" i="34" s="1"/>
  <c r="K4" i="34"/>
  <c r="H15" i="1"/>
  <c r="J15" i="1" s="1"/>
  <c r="V24" i="26"/>
  <c r="F97" i="17"/>
  <c r="E14" i="113" s="1"/>
  <c r="F100" i="17"/>
  <c r="I101" i="17" s="1"/>
  <c r="F80" i="17"/>
  <c r="H49" i="17"/>
  <c r="H57" i="17"/>
  <c r="F76" i="17"/>
  <c r="B76" i="17" s="1"/>
  <c r="F70" i="17"/>
  <c r="B66" i="17"/>
  <c r="B80" i="17" s="1"/>
  <c r="F71" i="17"/>
  <c r="B71" i="17" s="1"/>
  <c r="F75" i="17"/>
  <c r="F69" i="17"/>
  <c r="F77" i="17"/>
  <c r="B77" i="17" s="1"/>
  <c r="BT27" i="113" l="1"/>
  <c r="BR28" i="113"/>
  <c r="EF28" i="112"/>
  <c r="ED29" i="112"/>
  <c r="D36" i="113"/>
  <c r="E8" i="113"/>
  <c r="D14" i="113" s="1"/>
  <c r="AP53" i="113"/>
  <c r="AN53" i="113" s="1"/>
  <c r="AN65" i="113" s="1"/>
  <c r="D36" i="112"/>
  <c r="DB53" i="112"/>
  <c r="CZ53" i="112" s="1"/>
  <c r="CZ65" i="112" s="1"/>
  <c r="G10" i="113"/>
  <c r="G14" i="113"/>
  <c r="E57" i="113"/>
  <c r="G12" i="113"/>
  <c r="CP29" i="104"/>
  <c r="CP27" i="104"/>
  <c r="CR27" i="104" s="1"/>
  <c r="CP25" i="104"/>
  <c r="CR25" i="104" s="1"/>
  <c r="CP24" i="104"/>
  <c r="CR24" i="104" s="1"/>
  <c r="CU24" i="104" s="1"/>
  <c r="CP31" i="104"/>
  <c r="CP26" i="104"/>
  <c r="CR26" i="104" s="1"/>
  <c r="CR20" i="104"/>
  <c r="CU20" i="104" s="1"/>
  <c r="CP37" i="104"/>
  <c r="CP30" i="104"/>
  <c r="CP23" i="104"/>
  <c r="CR23" i="104" s="1"/>
  <c r="CU23" i="104" s="1"/>
  <c r="CP38" i="104"/>
  <c r="CP34" i="104"/>
  <c r="CP32" i="104"/>
  <c r="CP28" i="104"/>
  <c r="CR28" i="104" s="1"/>
  <c r="CP36" i="104"/>
  <c r="CP33" i="104"/>
  <c r="CP35" i="104"/>
  <c r="BZ36" i="97"/>
  <c r="BZ37" i="97"/>
  <c r="BZ31" i="97"/>
  <c r="BZ38" i="97"/>
  <c r="BZ23" i="97"/>
  <c r="CB23" i="97" s="1"/>
  <c r="CE23" i="97" s="1"/>
  <c r="BZ35" i="97"/>
  <c r="BZ24" i="97"/>
  <c r="CB24" i="97" s="1"/>
  <c r="CE24" i="97" s="1"/>
  <c r="BZ34" i="97"/>
  <c r="BZ28" i="97"/>
  <c r="CB28" i="97" s="1"/>
  <c r="BZ33" i="97"/>
  <c r="BZ29" i="97"/>
  <c r="BZ32" i="97"/>
  <c r="BZ26" i="97"/>
  <c r="CB26" i="97" s="1"/>
  <c r="BZ30" i="97"/>
  <c r="BZ27" i="97"/>
  <c r="CB27" i="97" s="1"/>
  <c r="BZ25" i="97"/>
  <c r="CB25" i="97" s="1"/>
  <c r="CB20" i="97"/>
  <c r="CE20" i="97" s="1"/>
  <c r="BJ29" i="93"/>
  <c r="BJ33" i="93"/>
  <c r="BJ27" i="93"/>
  <c r="BL27" i="93" s="1"/>
  <c r="BJ31" i="93"/>
  <c r="BJ23" i="93"/>
  <c r="BL23" i="93" s="1"/>
  <c r="BO23" i="93" s="1"/>
  <c r="BJ32" i="93"/>
  <c r="BJ30" i="93"/>
  <c r="BJ28" i="93"/>
  <c r="BL28" i="93" s="1"/>
  <c r="BL20" i="93"/>
  <c r="BO20" i="93" s="1"/>
  <c r="BJ34" i="93"/>
  <c r="BJ24" i="93"/>
  <c r="BL24" i="93" s="1"/>
  <c r="BO24" i="93" s="1"/>
  <c r="BJ37" i="93"/>
  <c r="BJ38" i="93"/>
  <c r="BJ25" i="93"/>
  <c r="BL25" i="93" s="1"/>
  <c r="BJ35" i="93"/>
  <c r="BJ26" i="93"/>
  <c r="BL26" i="93" s="1"/>
  <c r="BJ36" i="93"/>
  <c r="C14" i="83"/>
  <c r="C26" i="83"/>
  <c r="H16" i="1"/>
  <c r="J16" i="1" s="1"/>
  <c r="BR32" i="95"/>
  <c r="BR29" i="95"/>
  <c r="BR37" i="95"/>
  <c r="BR31" i="95"/>
  <c r="BR30" i="95"/>
  <c r="BR23" i="95"/>
  <c r="BT23" i="95" s="1"/>
  <c r="BW23" i="95" s="1"/>
  <c r="BR36" i="95"/>
  <c r="BR35" i="95"/>
  <c r="BR38" i="95"/>
  <c r="BR28" i="95"/>
  <c r="BT28" i="95" s="1"/>
  <c r="BR24" i="95"/>
  <c r="BT24" i="95" s="1"/>
  <c r="BW24" i="95" s="1"/>
  <c r="BT20" i="95"/>
  <c r="BW20" i="95" s="1"/>
  <c r="BR27" i="95"/>
  <c r="BT27" i="95" s="1"/>
  <c r="BR25" i="95"/>
  <c r="BT25" i="95" s="1"/>
  <c r="BR33" i="95"/>
  <c r="BR34" i="95"/>
  <c r="BR26" i="95"/>
  <c r="BT26" i="95" s="1"/>
  <c r="DV31" i="105"/>
  <c r="DV33" i="105"/>
  <c r="DV32" i="105"/>
  <c r="DV23" i="105"/>
  <c r="DX23" i="105" s="1"/>
  <c r="EA23" i="105" s="1"/>
  <c r="DV36" i="105"/>
  <c r="DV30" i="105"/>
  <c r="DV24" i="105"/>
  <c r="DX24" i="105" s="1"/>
  <c r="EA24" i="105" s="1"/>
  <c r="DV25" i="105"/>
  <c r="DX25" i="105" s="1"/>
  <c r="DV28" i="105"/>
  <c r="DX28" i="105" s="1"/>
  <c r="DX20" i="105"/>
  <c r="EA20" i="105" s="1"/>
  <c r="DV27" i="105"/>
  <c r="DX27" i="105" s="1"/>
  <c r="DV29" i="105"/>
  <c r="DV38" i="105"/>
  <c r="DV35" i="105"/>
  <c r="DV34" i="105"/>
  <c r="DV37" i="105"/>
  <c r="DV26" i="105"/>
  <c r="DX26" i="105" s="1"/>
  <c r="DV33" i="106"/>
  <c r="DX20" i="106"/>
  <c r="EA20" i="106" s="1"/>
  <c r="DV29" i="106"/>
  <c r="DV27" i="106"/>
  <c r="DX27" i="106" s="1"/>
  <c r="DV37" i="106"/>
  <c r="DV26" i="106"/>
  <c r="DX26" i="106" s="1"/>
  <c r="DV35" i="106"/>
  <c r="DV38" i="106"/>
  <c r="DV36" i="106"/>
  <c r="DV31" i="106"/>
  <c r="DV24" i="106"/>
  <c r="DX24" i="106" s="1"/>
  <c r="EA24" i="106" s="1"/>
  <c r="DV34" i="106"/>
  <c r="DV30" i="106"/>
  <c r="DV23" i="106"/>
  <c r="DX23" i="106" s="1"/>
  <c r="EA23" i="106" s="1"/>
  <c r="DV28" i="106"/>
  <c r="DX28" i="106" s="1"/>
  <c r="DV32" i="106"/>
  <c r="DV25" i="106"/>
  <c r="DX25" i="106" s="1"/>
  <c r="BZ32" i="96"/>
  <c r="BZ35" i="96"/>
  <c r="CB20" i="96"/>
  <c r="CE20" i="96" s="1"/>
  <c r="BZ38" i="96"/>
  <c r="BZ33" i="96"/>
  <c r="BZ26" i="96"/>
  <c r="CB26" i="96" s="1"/>
  <c r="BZ24" i="96"/>
  <c r="CB24" i="96" s="1"/>
  <c r="CE24" i="96" s="1"/>
  <c r="BZ34" i="96"/>
  <c r="BZ29" i="96"/>
  <c r="BZ28" i="96"/>
  <c r="CB28" i="96" s="1"/>
  <c r="BZ30" i="96"/>
  <c r="BZ27" i="96"/>
  <c r="CB27" i="96" s="1"/>
  <c r="BZ23" i="96"/>
  <c r="CB23" i="96" s="1"/>
  <c r="CE23" i="96" s="1"/>
  <c r="BZ37" i="96"/>
  <c r="BZ25" i="96"/>
  <c r="CB25" i="96" s="1"/>
  <c r="BZ36" i="96"/>
  <c r="BZ31" i="96"/>
  <c r="BF53" i="97"/>
  <c r="BD53" i="97" s="1"/>
  <c r="BD65" i="97" s="1"/>
  <c r="DB53" i="107"/>
  <c r="CZ53" i="107" s="1"/>
  <c r="CZ65" i="107" s="1"/>
  <c r="D36" i="107"/>
  <c r="DB53" i="106"/>
  <c r="CZ53" i="106" s="1"/>
  <c r="CZ65" i="106" s="1"/>
  <c r="D36" i="100"/>
  <c r="D36" i="105"/>
  <c r="BV53" i="101"/>
  <c r="BT53" i="101" s="1"/>
  <c r="BT65" i="101" s="1"/>
  <c r="D36" i="101"/>
  <c r="BV53" i="104"/>
  <c r="BT53" i="104" s="1"/>
  <c r="BT65" i="104" s="1"/>
  <c r="D36" i="106"/>
  <c r="D36" i="102"/>
  <c r="BV53" i="100"/>
  <c r="BT53" i="100" s="1"/>
  <c r="BT65" i="100" s="1"/>
  <c r="D36" i="96"/>
  <c r="AP53" i="92"/>
  <c r="AN53" i="92" s="1"/>
  <c r="AN65" i="92" s="1"/>
  <c r="DB53" i="105"/>
  <c r="CZ53" i="105" s="1"/>
  <c r="CZ65" i="105" s="1"/>
  <c r="D36" i="104"/>
  <c r="D36" i="94"/>
  <c r="BF53" i="96"/>
  <c r="BD53" i="96" s="1"/>
  <c r="BD65" i="96" s="1"/>
  <c r="AX53" i="94"/>
  <c r="AV53" i="94" s="1"/>
  <c r="AV65" i="94" s="1"/>
  <c r="D36" i="93"/>
  <c r="AX53" i="95"/>
  <c r="AV53" i="95" s="1"/>
  <c r="AV65" i="95" s="1"/>
  <c r="AP53" i="93"/>
  <c r="AN53" i="93" s="1"/>
  <c r="AN65" i="93" s="1"/>
  <c r="BV53" i="102"/>
  <c r="BT53" i="102" s="1"/>
  <c r="BT65" i="102" s="1"/>
  <c r="D36" i="97"/>
  <c r="D36" i="98"/>
  <c r="BV53" i="98"/>
  <c r="BT53" i="98" s="1"/>
  <c r="BT65" i="98" s="1"/>
  <c r="D36" i="92"/>
  <c r="D36" i="95"/>
  <c r="D36" i="89"/>
  <c r="AP53" i="89"/>
  <c r="AN53" i="89" s="1"/>
  <c r="AN65" i="89" s="1"/>
  <c r="E8" i="61"/>
  <c r="E16" i="61" s="1"/>
  <c r="AP53" i="61"/>
  <c r="AN53" i="61" s="1"/>
  <c r="AN65" i="61" s="1"/>
  <c r="D36" i="61"/>
  <c r="C7" i="83"/>
  <c r="L15" i="1"/>
  <c r="N15" i="1" s="1"/>
  <c r="C28" i="83" s="1"/>
  <c r="BR26" i="94"/>
  <c r="BT26" i="94" s="1"/>
  <c r="BR32" i="94"/>
  <c r="BR28" i="94"/>
  <c r="BT28" i="94" s="1"/>
  <c r="BR36" i="94"/>
  <c r="BR37" i="94"/>
  <c r="BR24" i="94"/>
  <c r="BT24" i="94" s="1"/>
  <c r="BW24" i="94" s="1"/>
  <c r="BR25" i="94"/>
  <c r="BT25" i="94" s="1"/>
  <c r="BR23" i="94"/>
  <c r="BT23" i="94" s="1"/>
  <c r="BW23" i="94" s="1"/>
  <c r="BR31" i="94"/>
  <c r="BR38" i="94"/>
  <c r="BR30" i="94"/>
  <c r="BR29" i="94"/>
  <c r="BR35" i="94"/>
  <c r="BR27" i="94"/>
  <c r="BT27" i="94" s="1"/>
  <c r="BR34" i="94"/>
  <c r="BR33" i="94"/>
  <c r="BT20" i="94"/>
  <c r="BW20" i="94" s="1"/>
  <c r="CP26" i="98"/>
  <c r="CR26" i="98" s="1"/>
  <c r="CP33" i="98"/>
  <c r="CP35" i="98"/>
  <c r="CP36" i="98"/>
  <c r="CP23" i="98"/>
  <c r="CR23" i="98" s="1"/>
  <c r="CU23" i="98" s="1"/>
  <c r="CP30" i="98"/>
  <c r="CP34" i="98"/>
  <c r="CP31" i="98"/>
  <c r="CP32" i="98"/>
  <c r="CR20" i="98"/>
  <c r="CU20" i="98" s="1"/>
  <c r="CP28" i="98"/>
  <c r="CR28" i="98" s="1"/>
  <c r="CP24" i="98"/>
  <c r="CR24" i="98" s="1"/>
  <c r="CU24" i="98" s="1"/>
  <c r="CP37" i="98"/>
  <c r="CP27" i="98"/>
  <c r="CR27" i="98" s="1"/>
  <c r="CP29" i="98"/>
  <c r="CP38" i="98"/>
  <c r="CP25" i="98"/>
  <c r="CR25" i="98" s="1"/>
  <c r="BJ34" i="61"/>
  <c r="BJ35" i="61"/>
  <c r="BJ23" i="61"/>
  <c r="BL23" i="61" s="1"/>
  <c r="BO23" i="61" s="1"/>
  <c r="BJ28" i="61"/>
  <c r="BL28" i="61" s="1"/>
  <c r="BJ25" i="61"/>
  <c r="BL25" i="61" s="1"/>
  <c r="BJ38" i="61"/>
  <c r="BJ36" i="61"/>
  <c r="BJ37" i="61"/>
  <c r="BJ26" i="61"/>
  <c r="BL26" i="61" s="1"/>
  <c r="BJ27" i="61"/>
  <c r="BL27" i="61" s="1"/>
  <c r="BJ32" i="61"/>
  <c r="BJ33" i="61"/>
  <c r="BL20" i="61"/>
  <c r="BO20" i="61" s="1"/>
  <c r="BJ30" i="61"/>
  <c r="BJ24" i="61"/>
  <c r="BL24" i="61" s="1"/>
  <c r="BO24" i="61" s="1"/>
  <c r="BJ29" i="61"/>
  <c r="BJ31" i="61"/>
  <c r="BJ23" i="89"/>
  <c r="BL23" i="89" s="1"/>
  <c r="BO23" i="89" s="1"/>
  <c r="BJ24" i="89"/>
  <c r="BL24" i="89" s="1"/>
  <c r="BO24" i="89" s="1"/>
  <c r="BJ26" i="89"/>
  <c r="BL26" i="89" s="1"/>
  <c r="BJ38" i="89"/>
  <c r="BL20" i="89"/>
  <c r="BO20" i="89" s="1"/>
  <c r="BJ27" i="89"/>
  <c r="BL27" i="89" s="1"/>
  <c r="BJ36" i="89"/>
  <c r="BJ29" i="89"/>
  <c r="BJ28" i="89"/>
  <c r="BL28" i="89" s="1"/>
  <c r="BJ33" i="89"/>
  <c r="BJ32" i="89"/>
  <c r="BJ31" i="89"/>
  <c r="BJ35" i="89"/>
  <c r="BJ25" i="89"/>
  <c r="BL25" i="89" s="1"/>
  <c r="BJ37" i="89"/>
  <c r="BJ30" i="89"/>
  <c r="BJ34" i="89"/>
  <c r="E14" i="61"/>
  <c r="C110" i="17"/>
  <c r="C112" i="17" s="1"/>
  <c r="D10" i="20"/>
  <c r="I99" i="17"/>
  <c r="I102" i="17" s="1"/>
  <c r="H99" i="17"/>
  <c r="G99" i="17"/>
  <c r="CP37" i="100"/>
  <c r="CP24" i="100"/>
  <c r="CR24" i="100" s="1"/>
  <c r="CU24" i="100" s="1"/>
  <c r="CP28" i="100"/>
  <c r="CR28" i="100" s="1"/>
  <c r="CP25" i="100"/>
  <c r="CR25" i="100" s="1"/>
  <c r="CP23" i="100"/>
  <c r="CR23" i="100" s="1"/>
  <c r="CU23" i="100" s="1"/>
  <c r="CR20" i="100"/>
  <c r="CU20" i="100" s="1"/>
  <c r="CP27" i="100"/>
  <c r="CR27" i="100" s="1"/>
  <c r="CP35" i="100"/>
  <c r="CP29" i="100"/>
  <c r="CP36" i="100"/>
  <c r="CP33" i="100"/>
  <c r="CP31" i="100"/>
  <c r="CP30" i="100"/>
  <c r="CP38" i="100"/>
  <c r="CP26" i="100"/>
  <c r="CR26" i="100" s="1"/>
  <c r="CP34" i="100"/>
  <c r="CP32" i="100"/>
  <c r="K13" i="34"/>
  <c r="K8" i="34"/>
  <c r="K15" i="34"/>
  <c r="K12" i="34"/>
  <c r="K11" i="34"/>
  <c r="K10" i="34"/>
  <c r="K7" i="34"/>
  <c r="K17" i="34"/>
  <c r="K16" i="34"/>
  <c r="K6" i="34"/>
  <c r="DV34" i="107"/>
  <c r="DV24" i="107"/>
  <c r="DX24" i="107" s="1"/>
  <c r="EA24" i="107" s="1"/>
  <c r="DV33" i="107"/>
  <c r="DV37" i="107"/>
  <c r="DV32" i="107"/>
  <c r="DV29" i="107"/>
  <c r="DX20" i="107"/>
  <c r="EA20" i="107" s="1"/>
  <c r="DV36" i="107"/>
  <c r="DV28" i="107"/>
  <c r="DX28" i="107" s="1"/>
  <c r="DV26" i="107"/>
  <c r="DX26" i="107" s="1"/>
  <c r="DV31" i="107"/>
  <c r="DV27" i="107"/>
  <c r="DX27" i="107" s="1"/>
  <c r="DV38" i="107"/>
  <c r="DV25" i="107"/>
  <c r="DX25" i="107" s="1"/>
  <c r="DV23" i="107"/>
  <c r="DX23" i="107" s="1"/>
  <c r="EA23" i="107" s="1"/>
  <c r="DV30" i="107"/>
  <c r="DV35" i="107"/>
  <c r="CP26" i="101"/>
  <c r="CR26" i="101" s="1"/>
  <c r="CP23" i="101"/>
  <c r="CR23" i="101" s="1"/>
  <c r="CU23" i="101" s="1"/>
  <c r="CR20" i="101"/>
  <c r="CU20" i="101" s="1"/>
  <c r="CP30" i="101"/>
  <c r="CP37" i="101"/>
  <c r="CP27" i="101"/>
  <c r="CR27" i="101" s="1"/>
  <c r="CP36" i="101"/>
  <c r="CP28" i="101"/>
  <c r="CR28" i="101" s="1"/>
  <c r="CP38" i="101"/>
  <c r="CP31" i="101"/>
  <c r="CP25" i="101"/>
  <c r="CR25" i="101" s="1"/>
  <c r="CP34" i="101"/>
  <c r="CP24" i="101"/>
  <c r="CR24" i="101" s="1"/>
  <c r="CU24" i="101" s="1"/>
  <c r="CP29" i="101"/>
  <c r="CP33" i="101"/>
  <c r="CP32" i="101"/>
  <c r="CP35" i="101"/>
  <c r="BJ23" i="92"/>
  <c r="BL23" i="92" s="1"/>
  <c r="BO23" i="92" s="1"/>
  <c r="BJ24" i="92"/>
  <c r="BL24" i="92" s="1"/>
  <c r="BO24" i="92" s="1"/>
  <c r="BJ30" i="92"/>
  <c r="BJ29" i="92"/>
  <c r="BJ35" i="92"/>
  <c r="BJ36" i="92"/>
  <c r="BJ33" i="92"/>
  <c r="BL20" i="92"/>
  <c r="BO20" i="92" s="1"/>
  <c r="BJ28" i="92"/>
  <c r="BL28" i="92" s="1"/>
  <c r="BJ34" i="92"/>
  <c r="BJ27" i="92"/>
  <c r="BL27" i="92" s="1"/>
  <c r="BJ37" i="92"/>
  <c r="BJ32" i="92"/>
  <c r="BJ31" i="92"/>
  <c r="BJ38" i="92"/>
  <c r="BJ25" i="92"/>
  <c r="BL25" i="92" s="1"/>
  <c r="BJ26" i="92"/>
  <c r="BL26" i="92" s="1"/>
  <c r="CP36" i="102"/>
  <c r="CP26" i="102"/>
  <c r="CR26" i="102" s="1"/>
  <c r="CP37" i="102"/>
  <c r="CP23" i="102"/>
  <c r="CR23" i="102" s="1"/>
  <c r="CU23" i="102" s="1"/>
  <c r="CP38" i="102"/>
  <c r="CP24" i="102"/>
  <c r="CR24" i="102" s="1"/>
  <c r="CU24" i="102" s="1"/>
  <c r="CP35" i="102"/>
  <c r="CP30" i="102"/>
  <c r="CR20" i="102"/>
  <c r="CU20" i="102" s="1"/>
  <c r="CP33" i="102"/>
  <c r="CP25" i="102"/>
  <c r="CR25" i="102" s="1"/>
  <c r="CP31" i="102"/>
  <c r="CP32" i="102"/>
  <c r="CP34" i="102"/>
  <c r="CP27" i="102"/>
  <c r="CR27" i="102" s="1"/>
  <c r="CP29" i="102"/>
  <c r="CP28" i="102"/>
  <c r="CR28" i="102" s="1"/>
  <c r="F72" i="17"/>
  <c r="I72" i="17" s="1"/>
  <c r="K69" i="17" s="1"/>
  <c r="B70" i="17"/>
  <c r="B69" i="17"/>
  <c r="B75" i="17"/>
  <c r="B78" i="17" s="1"/>
  <c r="B82" i="17" s="1"/>
  <c r="F78" i="17"/>
  <c r="BT28" i="113" l="1"/>
  <c r="BR29" i="113"/>
  <c r="EF29" i="112"/>
  <c r="ED30" i="112"/>
  <c r="G55" i="113"/>
  <c r="I55" i="113" s="1"/>
  <c r="K55" i="113" s="1"/>
  <c r="G57" i="113"/>
  <c r="I57" i="113" s="1"/>
  <c r="K57" i="113" s="1"/>
  <c r="G53" i="113"/>
  <c r="I14" i="113"/>
  <c r="K14" i="113" s="1"/>
  <c r="M14" i="113" s="1"/>
  <c r="O14" i="113" s="1"/>
  <c r="Q14" i="113" s="1"/>
  <c r="S14" i="113" s="1"/>
  <c r="U14" i="113" s="1"/>
  <c r="W14" i="113" s="1"/>
  <c r="Y14" i="113" s="1"/>
  <c r="AA14" i="113" s="1"/>
  <c r="AC14" i="113" s="1"/>
  <c r="AE14" i="113" s="1"/>
  <c r="AG14" i="113" s="1"/>
  <c r="AI14" i="113" s="1"/>
  <c r="AK14" i="113" s="1"/>
  <c r="AM14" i="113" s="1"/>
  <c r="AQ14" i="113" s="1"/>
  <c r="I10" i="113"/>
  <c r="E36" i="112"/>
  <c r="D37" i="112"/>
  <c r="E9" i="113"/>
  <c r="E12" i="113" s="1"/>
  <c r="E13" i="113" s="1"/>
  <c r="E16" i="113"/>
  <c r="E51" i="113"/>
  <c r="D57" i="113" s="1"/>
  <c r="AN32" i="113"/>
  <c r="I12" i="113"/>
  <c r="K12" i="113" s="1"/>
  <c r="M12" i="113" s="1"/>
  <c r="O12" i="113" s="1"/>
  <c r="Q12" i="113" s="1"/>
  <c r="S12" i="113" s="1"/>
  <c r="U12" i="113" s="1"/>
  <c r="W12" i="113" s="1"/>
  <c r="Y12" i="113" s="1"/>
  <c r="AA12" i="113" s="1"/>
  <c r="AC12" i="113" s="1"/>
  <c r="AE12" i="113" s="1"/>
  <c r="AG12" i="113" s="1"/>
  <c r="AI12" i="113" s="1"/>
  <c r="AK12" i="113" s="1"/>
  <c r="AM12" i="113" s="1"/>
  <c r="AQ12" i="113" s="1"/>
  <c r="D37" i="113"/>
  <c r="E36" i="113"/>
  <c r="CR34" i="100"/>
  <c r="CP44" i="100"/>
  <c r="BJ47" i="89"/>
  <c r="BL47" i="89" s="1"/>
  <c r="BL37" i="89"/>
  <c r="BL37" i="61"/>
  <c r="BJ47" i="61"/>
  <c r="BL47" i="61" s="1"/>
  <c r="CR32" i="98"/>
  <c r="CP42" i="98"/>
  <c r="BT38" i="94"/>
  <c r="BR48" i="94"/>
  <c r="BT48" i="94" s="1"/>
  <c r="BR42" i="94"/>
  <c r="BT32" i="94"/>
  <c r="E36" i="89"/>
  <c r="D37" i="89"/>
  <c r="D37" i="96"/>
  <c r="E36" i="96"/>
  <c r="CL26" i="96"/>
  <c r="CE26" i="96"/>
  <c r="CG26" i="96" s="1"/>
  <c r="DV47" i="105"/>
  <c r="DX47" i="105" s="1"/>
  <c r="DX37" i="105"/>
  <c r="CD26" i="95"/>
  <c r="BW26" i="95"/>
  <c r="BY26" i="95" s="1"/>
  <c r="BO25" i="93"/>
  <c r="BQ25" i="93" s="1"/>
  <c r="BV25" i="93"/>
  <c r="CL27" i="97"/>
  <c r="CE27" i="97"/>
  <c r="CG27" i="97" s="1"/>
  <c r="CP47" i="104"/>
  <c r="CR47" i="104" s="1"/>
  <c r="CR37" i="104"/>
  <c r="BJ44" i="92"/>
  <c r="BL34" i="92"/>
  <c r="DX37" i="107"/>
  <c r="DV47" i="107"/>
  <c r="DX47" i="107" s="1"/>
  <c r="DB27" i="100"/>
  <c r="CU27" i="100"/>
  <c r="CW27" i="100" s="1"/>
  <c r="BO25" i="89"/>
  <c r="BQ25" i="89" s="1"/>
  <c r="BV25" i="89"/>
  <c r="CP48" i="98"/>
  <c r="CR48" i="98" s="1"/>
  <c r="CR38" i="98"/>
  <c r="CD26" i="94"/>
  <c r="BW26" i="94"/>
  <c r="BY26" i="94" s="1"/>
  <c r="CB33" i="96"/>
  <c r="BZ43" i="96"/>
  <c r="EA26" i="106"/>
  <c r="EC26" i="106" s="1"/>
  <c r="EH26" i="106"/>
  <c r="BR44" i="95"/>
  <c r="BT34" i="95"/>
  <c r="CB30" i="97"/>
  <c r="BZ40" i="97"/>
  <c r="CP46" i="104"/>
  <c r="CR46" i="104" s="1"/>
  <c r="CR36" i="104"/>
  <c r="CP39" i="102"/>
  <c r="CR29" i="102"/>
  <c r="BV26" i="92"/>
  <c r="BO26" i="92"/>
  <c r="BQ26" i="92" s="1"/>
  <c r="BO28" i="92"/>
  <c r="BQ28" i="92" s="1"/>
  <c r="BV28" i="92"/>
  <c r="CP41" i="101"/>
  <c r="CR31" i="101"/>
  <c r="DX31" i="107"/>
  <c r="DV41" i="107"/>
  <c r="DX33" i="107"/>
  <c r="DV43" i="107"/>
  <c r="U11" i="34"/>
  <c r="O11" i="34"/>
  <c r="R11" i="34"/>
  <c r="CP48" i="100"/>
  <c r="CR48" i="100" s="1"/>
  <c r="CR38" i="100"/>
  <c r="D22" i="17"/>
  <c r="D129" i="17"/>
  <c r="BJ45" i="89"/>
  <c r="BL35" i="89"/>
  <c r="BJ40" i="61"/>
  <c r="BL30" i="61"/>
  <c r="BL38" i="61"/>
  <c r="BJ48" i="61"/>
  <c r="BL48" i="61" s="1"/>
  <c r="CR29" i="98"/>
  <c r="CP39" i="98"/>
  <c r="CR34" i="98"/>
  <c r="CP44" i="98"/>
  <c r="BT33" i="94"/>
  <c r="BR43" i="94"/>
  <c r="E36" i="92"/>
  <c r="D37" i="92"/>
  <c r="D37" i="102"/>
  <c r="E36" i="102"/>
  <c r="E36" i="107"/>
  <c r="D37" i="107"/>
  <c r="CL27" i="96"/>
  <c r="CE27" i="96"/>
  <c r="CG27" i="96" s="1"/>
  <c r="BZ48" i="96"/>
  <c r="CB48" i="96" s="1"/>
  <c r="CB38" i="96"/>
  <c r="DX30" i="106"/>
  <c r="DV40" i="106"/>
  <c r="DV47" i="106"/>
  <c r="DX47" i="106" s="1"/>
  <c r="DX37" i="106"/>
  <c r="DX35" i="105"/>
  <c r="DV45" i="105"/>
  <c r="DV40" i="105"/>
  <c r="DX30" i="105"/>
  <c r="BR43" i="95"/>
  <c r="BT33" i="95"/>
  <c r="BT36" i="95"/>
  <c r="BR46" i="95"/>
  <c r="BT46" i="95" s="1"/>
  <c r="AN39" i="89"/>
  <c r="L16" i="1"/>
  <c r="C30" i="83"/>
  <c r="C19" i="83"/>
  <c r="C32" i="83"/>
  <c r="BL37" i="93"/>
  <c r="BJ47" i="93"/>
  <c r="BL47" i="93" s="1"/>
  <c r="BL31" i="93"/>
  <c r="BJ41" i="93"/>
  <c r="CL26" i="97"/>
  <c r="CE26" i="97"/>
  <c r="CG26" i="97" s="1"/>
  <c r="CU28" i="104"/>
  <c r="CW28" i="104" s="1"/>
  <c r="DB28" i="104"/>
  <c r="CU26" i="104"/>
  <c r="CW26" i="104" s="1"/>
  <c r="DB26" i="104"/>
  <c r="DB27" i="102"/>
  <c r="CU27" i="102"/>
  <c r="CW27" i="102" s="1"/>
  <c r="CR35" i="102"/>
  <c r="CP45" i="102"/>
  <c r="BV25" i="92"/>
  <c r="BO25" i="92"/>
  <c r="BQ25" i="92" s="1"/>
  <c r="CR35" i="101"/>
  <c r="CP45" i="101"/>
  <c r="CR38" i="101"/>
  <c r="CP48" i="101"/>
  <c r="CR48" i="101" s="1"/>
  <c r="DB26" i="101"/>
  <c r="CU26" i="101"/>
  <c r="CW26" i="101" s="1"/>
  <c r="EH26" i="107"/>
  <c r="EA26" i="107"/>
  <c r="EC26" i="107" s="1"/>
  <c r="R12" i="34"/>
  <c r="U12" i="34"/>
  <c r="O12" i="34"/>
  <c r="CR30" i="100"/>
  <c r="CP40" i="100"/>
  <c r="F8" i="20"/>
  <c r="F10" i="20"/>
  <c r="D50" i="20"/>
  <c r="F6" i="20"/>
  <c r="H6" i="20" s="1"/>
  <c r="J6" i="20" s="1"/>
  <c r="L6" i="20" s="1"/>
  <c r="N6" i="20" s="1"/>
  <c r="P6" i="20" s="1"/>
  <c r="R6" i="20" s="1"/>
  <c r="T6" i="20" s="1"/>
  <c r="V6" i="20" s="1"/>
  <c r="X6" i="20" s="1"/>
  <c r="Z6" i="20" s="1"/>
  <c r="AB6" i="20" s="1"/>
  <c r="AD6" i="20" s="1"/>
  <c r="AF6" i="20" s="1"/>
  <c r="AH6" i="20" s="1"/>
  <c r="AJ6" i="20" s="1"/>
  <c r="BL31" i="89"/>
  <c r="BJ41" i="89"/>
  <c r="BJ48" i="89"/>
  <c r="BL48" i="89" s="1"/>
  <c r="BL38" i="89"/>
  <c r="BO25" i="61"/>
  <c r="BQ25" i="61" s="1"/>
  <c r="BV25" i="61"/>
  <c r="DB27" i="98"/>
  <c r="CU27" i="98"/>
  <c r="CW27" i="98" s="1"/>
  <c r="CP40" i="98"/>
  <c r="CR30" i="98"/>
  <c r="BR44" i="94"/>
  <c r="BT34" i="94"/>
  <c r="BW25" i="94"/>
  <c r="BY25" i="94" s="1"/>
  <c r="CD25" i="94"/>
  <c r="E36" i="106"/>
  <c r="D37" i="106"/>
  <c r="BZ40" i="96"/>
  <c r="CB30" i="96"/>
  <c r="DV44" i="106"/>
  <c r="DX34" i="106"/>
  <c r="EH27" i="106"/>
  <c r="EA27" i="106"/>
  <c r="EC27" i="106" s="1"/>
  <c r="DV48" i="105"/>
  <c r="DX48" i="105" s="1"/>
  <c r="DX38" i="105"/>
  <c r="DX36" i="105"/>
  <c r="DV46" i="105"/>
  <c r="DX46" i="105" s="1"/>
  <c r="BW25" i="95"/>
  <c r="BY25" i="95" s="1"/>
  <c r="CD25" i="95"/>
  <c r="BV27" i="93"/>
  <c r="BO27" i="93"/>
  <c r="BQ27" i="93" s="1"/>
  <c r="BZ42" i="97"/>
  <c r="CB32" i="97"/>
  <c r="BZ48" i="97"/>
  <c r="CB48" i="97" s="1"/>
  <c r="CB38" i="97"/>
  <c r="CR32" i="104"/>
  <c r="CP42" i="104"/>
  <c r="CR31" i="104"/>
  <c r="CP41" i="104"/>
  <c r="CP44" i="102"/>
  <c r="CR34" i="102"/>
  <c r="BJ48" i="92"/>
  <c r="BL48" i="92" s="1"/>
  <c r="BL38" i="92"/>
  <c r="BL33" i="92"/>
  <c r="BJ43" i="92"/>
  <c r="CR32" i="101"/>
  <c r="CP42" i="101"/>
  <c r="CU28" i="101"/>
  <c r="CW28" i="101" s="1"/>
  <c r="DB28" i="101"/>
  <c r="DV45" i="107"/>
  <c r="DX35" i="107"/>
  <c r="EA28" i="107"/>
  <c r="EC28" i="107" s="1"/>
  <c r="EH28" i="107"/>
  <c r="DV44" i="107"/>
  <c r="DX34" i="107"/>
  <c r="R15" i="34"/>
  <c r="U15" i="34"/>
  <c r="O15" i="34"/>
  <c r="CP41" i="100"/>
  <c r="CR31" i="100"/>
  <c r="CU25" i="100"/>
  <c r="CW25" i="100" s="1"/>
  <c r="DB25" i="100"/>
  <c r="I112" i="17"/>
  <c r="I114" i="17" s="1"/>
  <c r="H112" i="17"/>
  <c r="H114" i="17" s="1"/>
  <c r="G112" i="17"/>
  <c r="G114" i="17" s="1"/>
  <c r="F112" i="17"/>
  <c r="K112" i="17"/>
  <c r="K114" i="17" s="1"/>
  <c r="J112" i="17"/>
  <c r="J114" i="17" s="1"/>
  <c r="BL32" i="89"/>
  <c r="BJ42" i="89"/>
  <c r="BV26" i="89"/>
  <c r="BO26" i="89"/>
  <c r="BQ26" i="89" s="1"/>
  <c r="BL33" i="61"/>
  <c r="BJ43" i="61"/>
  <c r="BO28" i="61"/>
  <c r="BQ28" i="61" s="1"/>
  <c r="BV28" i="61"/>
  <c r="CR37" i="98"/>
  <c r="CP47" i="98"/>
  <c r="CR47" i="98" s="1"/>
  <c r="CD27" i="94"/>
  <c r="BW27" i="94"/>
  <c r="BY27" i="94" s="1"/>
  <c r="D37" i="61"/>
  <c r="E36" i="61"/>
  <c r="D37" i="98"/>
  <c r="E36" i="98"/>
  <c r="E36" i="94"/>
  <c r="D37" i="94"/>
  <c r="CL28" i="96"/>
  <c r="CE28" i="96"/>
  <c r="CG28" i="96" s="1"/>
  <c r="BZ45" i="96"/>
  <c r="CB35" i="96"/>
  <c r="DV39" i="106"/>
  <c r="DX29" i="106"/>
  <c r="DX29" i="105"/>
  <c r="DV39" i="105"/>
  <c r="CD27" i="95"/>
  <c r="BW27" i="95"/>
  <c r="BY27" i="95" s="1"/>
  <c r="BR40" i="95"/>
  <c r="BT30" i="95"/>
  <c r="BL34" i="93"/>
  <c r="BJ44" i="93"/>
  <c r="BL33" i="93"/>
  <c r="BJ43" i="93"/>
  <c r="BZ39" i="97"/>
  <c r="CB29" i="97"/>
  <c r="CB31" i="97"/>
  <c r="BZ41" i="97"/>
  <c r="CR34" i="104"/>
  <c r="CP44" i="104"/>
  <c r="CR33" i="102"/>
  <c r="CP43" i="102"/>
  <c r="CU26" i="98"/>
  <c r="CW26" i="98" s="1"/>
  <c r="DB26" i="98"/>
  <c r="BO27" i="92"/>
  <c r="BQ27" i="92" s="1"/>
  <c r="BV27" i="92"/>
  <c r="CR34" i="101"/>
  <c r="CP44" i="101"/>
  <c r="DV42" i="107"/>
  <c r="DX32" i="107"/>
  <c r="CP45" i="100"/>
  <c r="CR35" i="100"/>
  <c r="CU25" i="98"/>
  <c r="CW25" i="98" s="1"/>
  <c r="DB25" i="98"/>
  <c r="EA28" i="106"/>
  <c r="EC28" i="106" s="1"/>
  <c r="EH28" i="106"/>
  <c r="EH25" i="105"/>
  <c r="EA25" i="105"/>
  <c r="EC25" i="105" s="1"/>
  <c r="BR42" i="95"/>
  <c r="BT32" i="95"/>
  <c r="BL32" i="93"/>
  <c r="BJ42" i="93"/>
  <c r="CR33" i="104"/>
  <c r="CP43" i="104"/>
  <c r="CR36" i="102"/>
  <c r="CP46" i="102"/>
  <c r="CR46" i="102" s="1"/>
  <c r="CU25" i="101"/>
  <c r="CW25" i="101" s="1"/>
  <c r="DB25" i="101"/>
  <c r="R10" i="34"/>
  <c r="U10" i="34"/>
  <c r="O10" i="34"/>
  <c r="CP41" i="98"/>
  <c r="CR31" i="98"/>
  <c r="H17" i="1"/>
  <c r="CB35" i="97"/>
  <c r="BZ45" i="97"/>
  <c r="DB26" i="102"/>
  <c r="CU26" i="102"/>
  <c r="CW26" i="102" s="1"/>
  <c r="BJ40" i="92"/>
  <c r="BL30" i="92"/>
  <c r="CP40" i="101"/>
  <c r="CR30" i="101"/>
  <c r="DX38" i="107"/>
  <c r="DV48" i="107"/>
  <c r="DX48" i="107" s="1"/>
  <c r="U7" i="34"/>
  <c r="R7" i="34"/>
  <c r="O7" i="34"/>
  <c r="BL36" i="89"/>
  <c r="BJ46" i="89"/>
  <c r="BL46" i="89" s="1"/>
  <c r="BL29" i="61"/>
  <c r="BJ39" i="61"/>
  <c r="E36" i="100"/>
  <c r="D37" i="100"/>
  <c r="CB37" i="96"/>
  <c r="BZ47" i="96"/>
  <c r="CB47" i="96" s="1"/>
  <c r="DV45" i="106"/>
  <c r="DX35" i="106"/>
  <c r="BR48" i="95"/>
  <c r="BT48" i="95" s="1"/>
  <c r="BT38" i="95"/>
  <c r="CU28" i="102"/>
  <c r="CW28" i="102" s="1"/>
  <c r="DB28" i="102"/>
  <c r="EH27" i="107"/>
  <c r="EA27" i="107"/>
  <c r="EC27" i="107" s="1"/>
  <c r="DB26" i="100"/>
  <c r="CU26" i="100"/>
  <c r="CW26" i="100" s="1"/>
  <c r="BV27" i="89"/>
  <c r="BO27" i="89"/>
  <c r="BQ27" i="89" s="1"/>
  <c r="BL36" i="61"/>
  <c r="BJ46" i="61"/>
  <c r="BL46" i="61" s="1"/>
  <c r="BR41" i="94"/>
  <c r="BT31" i="94"/>
  <c r="E36" i="95"/>
  <c r="D37" i="95"/>
  <c r="D37" i="93"/>
  <c r="E36" i="93"/>
  <c r="DX34" i="105"/>
  <c r="DV44" i="105"/>
  <c r="BT35" i="95"/>
  <c r="BR45" i="95"/>
  <c r="BJ48" i="93"/>
  <c r="BL48" i="93" s="1"/>
  <c r="BL38" i="93"/>
  <c r="CR30" i="102"/>
  <c r="CP40" i="102"/>
  <c r="CR32" i="102"/>
  <c r="CP42" i="102"/>
  <c r="CR38" i="102"/>
  <c r="CP48" i="102"/>
  <c r="CR48" i="102" s="1"/>
  <c r="BJ41" i="92"/>
  <c r="BL31" i="92"/>
  <c r="BJ46" i="92"/>
  <c r="BL46" i="92" s="1"/>
  <c r="BL36" i="92"/>
  <c r="CR33" i="101"/>
  <c r="CP43" i="101"/>
  <c r="CP46" i="101"/>
  <c r="CR46" i="101" s="1"/>
  <c r="CR36" i="101"/>
  <c r="DV40" i="107"/>
  <c r="DX30" i="107"/>
  <c r="DX36" i="107"/>
  <c r="DV46" i="107"/>
  <c r="DX46" i="107" s="1"/>
  <c r="O6" i="34"/>
  <c r="R6" i="34"/>
  <c r="U6" i="34"/>
  <c r="K24" i="34"/>
  <c r="U8" i="34"/>
  <c r="O8" i="34"/>
  <c r="R8" i="34"/>
  <c r="CP43" i="100"/>
  <c r="CR33" i="100"/>
  <c r="CU28" i="100"/>
  <c r="CW28" i="100" s="1"/>
  <c r="DB28" i="100"/>
  <c r="G14" i="61"/>
  <c r="G10" i="61"/>
  <c r="E57" i="61"/>
  <c r="D14" i="61"/>
  <c r="G12" i="61"/>
  <c r="BJ43" i="89"/>
  <c r="BL33" i="89"/>
  <c r="BL32" i="61"/>
  <c r="BJ42" i="61"/>
  <c r="CR36" i="98"/>
  <c r="CP46" i="98"/>
  <c r="CR46" i="98" s="1"/>
  <c r="BT35" i="94"/>
  <c r="BR45" i="94"/>
  <c r="BR47" i="94"/>
  <c r="BT47" i="94" s="1"/>
  <c r="BT37" i="94"/>
  <c r="D37" i="97"/>
  <c r="E36" i="97"/>
  <c r="E36" i="104"/>
  <c r="D37" i="104"/>
  <c r="D37" i="101"/>
  <c r="E36" i="101"/>
  <c r="BZ41" i="96"/>
  <c r="CB31" i="96"/>
  <c r="BZ39" i="96"/>
  <c r="CB29" i="96"/>
  <c r="CB32" i="96"/>
  <c r="BZ42" i="96"/>
  <c r="DV41" i="106"/>
  <c r="DX31" i="106"/>
  <c r="EA27" i="105"/>
  <c r="EC27" i="105" s="1"/>
  <c r="EH27" i="105"/>
  <c r="DV42" i="105"/>
  <c r="DX32" i="105"/>
  <c r="BR41" i="95"/>
  <c r="BT31" i="95"/>
  <c r="BJ46" i="93"/>
  <c r="BL46" i="93" s="1"/>
  <c r="BL36" i="93"/>
  <c r="BJ39" i="93"/>
  <c r="BL29" i="93"/>
  <c r="CB33" i="97"/>
  <c r="BZ43" i="97"/>
  <c r="CB37" i="97"/>
  <c r="BZ47" i="97"/>
  <c r="CB47" i="97" s="1"/>
  <c r="CR38" i="104"/>
  <c r="CP48" i="104"/>
  <c r="CR48" i="104" s="1"/>
  <c r="DB25" i="104"/>
  <c r="CU25" i="104"/>
  <c r="CW25" i="104" s="1"/>
  <c r="CR31" i="102"/>
  <c r="CP41" i="102"/>
  <c r="BL32" i="92"/>
  <c r="BJ42" i="92"/>
  <c r="BL35" i="92"/>
  <c r="BJ45" i="92"/>
  <c r="CR29" i="101"/>
  <c r="CP39" i="101"/>
  <c r="DB27" i="101"/>
  <c r="CU27" i="101"/>
  <c r="CW27" i="101" s="1"/>
  <c r="U16" i="34"/>
  <c r="O16" i="34"/>
  <c r="R16" i="34"/>
  <c r="R13" i="34"/>
  <c r="U13" i="34"/>
  <c r="O13" i="34"/>
  <c r="CP46" i="100"/>
  <c r="CR46" i="100" s="1"/>
  <c r="CR36" i="100"/>
  <c r="BJ44" i="89"/>
  <c r="BL34" i="89"/>
  <c r="BV28" i="89"/>
  <c r="BO28" i="89"/>
  <c r="BQ28" i="89" s="1"/>
  <c r="BO27" i="61"/>
  <c r="BQ27" i="61" s="1"/>
  <c r="BV27" i="61"/>
  <c r="BJ45" i="61"/>
  <c r="BL35" i="61"/>
  <c r="DB28" i="98"/>
  <c r="CU28" i="98"/>
  <c r="CW28" i="98" s="1"/>
  <c r="CR35" i="98"/>
  <c r="CP45" i="98"/>
  <c r="BT29" i="94"/>
  <c r="BR39" i="94"/>
  <c r="BR46" i="94"/>
  <c r="BT46" i="94" s="1"/>
  <c r="BT36" i="94"/>
  <c r="E9" i="61"/>
  <c r="E12" i="61" s="1"/>
  <c r="E13" i="61" s="1"/>
  <c r="AN32" i="61"/>
  <c r="E51" i="61"/>
  <c r="BZ46" i="96"/>
  <c r="CB46" i="96" s="1"/>
  <c r="CB36" i="96"/>
  <c r="CB34" i="96"/>
  <c r="BZ44" i="96"/>
  <c r="EH25" i="106"/>
  <c r="EA25" i="106"/>
  <c r="EC25" i="106" s="1"/>
  <c r="DX36" i="106"/>
  <c r="DV46" i="106"/>
  <c r="DX46" i="106" s="1"/>
  <c r="DV43" i="106"/>
  <c r="DX33" i="106"/>
  <c r="DV43" i="105"/>
  <c r="DX33" i="105"/>
  <c r="BT37" i="95"/>
  <c r="BR47" i="95"/>
  <c r="BT47" i="95" s="1"/>
  <c r="BO26" i="93"/>
  <c r="BQ26" i="93" s="1"/>
  <c r="BV26" i="93"/>
  <c r="BV28" i="93"/>
  <c r="BO28" i="93"/>
  <c r="BQ28" i="93" s="1"/>
  <c r="CE28" i="97"/>
  <c r="CG28" i="97" s="1"/>
  <c r="CL28" i="97"/>
  <c r="BZ46" i="97"/>
  <c r="CB46" i="97" s="1"/>
  <c r="CB36" i="97"/>
  <c r="DB27" i="104"/>
  <c r="CU27" i="104"/>
  <c r="CW27" i="104" s="1"/>
  <c r="DB25" i="102"/>
  <c r="CU25" i="102"/>
  <c r="CW25" i="102" s="1"/>
  <c r="CX25" i="102" s="1"/>
  <c r="CZ25" i="102" s="1"/>
  <c r="CP47" i="102"/>
  <c r="CR47" i="102" s="1"/>
  <c r="CR37" i="102"/>
  <c r="BJ47" i="92"/>
  <c r="BL47" i="92" s="1"/>
  <c r="BL37" i="92"/>
  <c r="BJ39" i="92"/>
  <c r="BL29" i="92"/>
  <c r="CP47" i="101"/>
  <c r="CR47" i="101" s="1"/>
  <c r="CR37" i="101"/>
  <c r="EA25" i="107"/>
  <c r="EC25" i="107" s="1"/>
  <c r="EH25" i="107"/>
  <c r="DX29" i="107"/>
  <c r="DV39" i="107"/>
  <c r="R17" i="34"/>
  <c r="U17" i="34"/>
  <c r="O17" i="34"/>
  <c r="CR32" i="100"/>
  <c r="CP42" i="100"/>
  <c r="CP39" i="100"/>
  <c r="CR29" i="100"/>
  <c r="CR37" i="100"/>
  <c r="CP47" i="100"/>
  <c r="CR47" i="100" s="1"/>
  <c r="BL30" i="89"/>
  <c r="BJ40" i="89"/>
  <c r="BL29" i="89"/>
  <c r="BJ39" i="89"/>
  <c r="BL31" i="61"/>
  <c r="BJ41" i="61"/>
  <c r="BV26" i="61"/>
  <c r="BO26" i="61"/>
  <c r="BQ26" i="61" s="1"/>
  <c r="BL34" i="61"/>
  <c r="BJ44" i="61"/>
  <c r="CR33" i="98"/>
  <c r="CP43" i="98"/>
  <c r="BR40" i="94"/>
  <c r="BT30" i="94"/>
  <c r="CD28" i="94"/>
  <c r="BW28" i="94"/>
  <c r="BY28" i="94" s="1"/>
  <c r="D37" i="105"/>
  <c r="E36" i="105"/>
  <c r="CE25" i="96"/>
  <c r="CG25" i="96" s="1"/>
  <c r="CL25" i="96"/>
  <c r="DX32" i="106"/>
  <c r="DV42" i="106"/>
  <c r="DV48" i="106"/>
  <c r="DX48" i="106" s="1"/>
  <c r="DX38" i="106"/>
  <c r="EA26" i="105"/>
  <c r="EC26" i="105" s="1"/>
  <c r="EH26" i="105"/>
  <c r="EH28" i="105"/>
  <c r="EA28" i="105"/>
  <c r="EC28" i="105" s="1"/>
  <c r="DX31" i="105"/>
  <c r="DV41" i="105"/>
  <c r="BW28" i="95"/>
  <c r="BY28" i="95" s="1"/>
  <c r="CD28" i="95"/>
  <c r="BR39" i="95"/>
  <c r="BT29" i="95"/>
  <c r="BL35" i="93"/>
  <c r="BJ45" i="93"/>
  <c r="BJ40" i="93"/>
  <c r="BL30" i="93"/>
  <c r="CL25" i="97"/>
  <c r="CE25" i="97"/>
  <c r="CG25" i="97" s="1"/>
  <c r="CB34" i="97"/>
  <c r="BZ44" i="97"/>
  <c r="CR35" i="104"/>
  <c r="CP45" i="104"/>
  <c r="CP40" i="104"/>
  <c r="CR30" i="104"/>
  <c r="CR29" i="104"/>
  <c r="CP39" i="104"/>
  <c r="F82" i="17"/>
  <c r="F81" i="17"/>
  <c r="B72" i="17"/>
  <c r="B84" i="17"/>
  <c r="B86" i="17" s="1"/>
  <c r="BT29" i="113" l="1"/>
  <c r="BR30" i="113"/>
  <c r="CX25" i="104"/>
  <c r="CZ25" i="104" s="1"/>
  <c r="EF30" i="112"/>
  <c r="ED31" i="112"/>
  <c r="AN14" i="113"/>
  <c r="AN12" i="113"/>
  <c r="BR25" i="61"/>
  <c r="BT25" i="61" s="1"/>
  <c r="ED25" i="106"/>
  <c r="EF25" i="106" s="1"/>
  <c r="CX25" i="100"/>
  <c r="CZ25" i="100" s="1"/>
  <c r="CZ38" i="112"/>
  <c r="CZ36" i="112"/>
  <c r="K10" i="113"/>
  <c r="M10" i="113" s="1"/>
  <c r="D38" i="113"/>
  <c r="E37" i="113"/>
  <c r="CZ43" i="112"/>
  <c r="CZ41" i="112"/>
  <c r="D38" i="112"/>
  <c r="E37" i="112"/>
  <c r="I53" i="113"/>
  <c r="ED25" i="107"/>
  <c r="EF25" i="107" s="1"/>
  <c r="BR25" i="89"/>
  <c r="BT25" i="89" s="1"/>
  <c r="BJ55" i="93"/>
  <c r="BL55" i="93" s="1"/>
  <c r="BL45" i="93"/>
  <c r="CL34" i="96"/>
  <c r="CE34" i="96"/>
  <c r="CG34" i="96" s="1"/>
  <c r="BO29" i="93"/>
  <c r="BQ29" i="93" s="1"/>
  <c r="BV29" i="93"/>
  <c r="BV33" i="89"/>
  <c r="BO33" i="89"/>
  <c r="BQ33" i="89" s="1"/>
  <c r="DV54" i="105"/>
  <c r="DX54" i="105" s="1"/>
  <c r="DX44" i="105"/>
  <c r="CE35" i="96"/>
  <c r="CG35" i="96" s="1"/>
  <c r="CL35" i="96"/>
  <c r="BV48" i="92"/>
  <c r="BO48" i="92"/>
  <c r="BQ48" i="92" s="1"/>
  <c r="DB30" i="98"/>
  <c r="CU30" i="98"/>
  <c r="CW30" i="98" s="1"/>
  <c r="EA35" i="105"/>
  <c r="EC35" i="105" s="1"/>
  <c r="EH35" i="105"/>
  <c r="EA47" i="107"/>
  <c r="EC47" i="107" s="1"/>
  <c r="EH47" i="107"/>
  <c r="BO35" i="93"/>
  <c r="BQ35" i="93" s="1"/>
  <c r="BV35" i="93"/>
  <c r="CD29" i="94"/>
  <c r="BW29" i="94"/>
  <c r="BY29" i="94" s="1"/>
  <c r="BL43" i="89"/>
  <c r="BJ53" i="89"/>
  <c r="BL53" i="89" s="1"/>
  <c r="BV36" i="61"/>
  <c r="BO36" i="61"/>
  <c r="BQ36" i="61" s="1"/>
  <c r="CX25" i="98"/>
  <c r="CZ25" i="98" s="1"/>
  <c r="G116" i="17"/>
  <c r="G122" i="17" s="1"/>
  <c r="G118" i="17"/>
  <c r="G120" i="17" s="1"/>
  <c r="EA38" i="105"/>
  <c r="EC38" i="105" s="1"/>
  <c r="EH38" i="105"/>
  <c r="EH37" i="106"/>
  <c r="EA37" i="106"/>
  <c r="EC37" i="106" s="1"/>
  <c r="BR25" i="93"/>
  <c r="BT25" i="93" s="1"/>
  <c r="CR45" i="98"/>
  <c r="CP55" i="98"/>
  <c r="CR55" i="98" s="1"/>
  <c r="CU48" i="104"/>
  <c r="CW48" i="104" s="1"/>
  <c r="DB48" i="104"/>
  <c r="BR55" i="94"/>
  <c r="BT55" i="94" s="1"/>
  <c r="BT45" i="94"/>
  <c r="CR43" i="100"/>
  <c r="CP53" i="100"/>
  <c r="CR53" i="100" s="1"/>
  <c r="CR40" i="102"/>
  <c r="CP50" i="102"/>
  <c r="CR50" i="102" s="1"/>
  <c r="EA38" i="107"/>
  <c r="EC38" i="107" s="1"/>
  <c r="EH38" i="107"/>
  <c r="CU35" i="100"/>
  <c r="CW35" i="100" s="1"/>
  <c r="DB35" i="100"/>
  <c r="BV37" i="61"/>
  <c r="BO37" i="61"/>
  <c r="BQ37" i="61" s="1"/>
  <c r="CR39" i="104"/>
  <c r="CP49" i="104"/>
  <c r="CR49" i="104" s="1"/>
  <c r="CH25" i="97"/>
  <c r="CJ25" i="97" s="1"/>
  <c r="EA38" i="106"/>
  <c r="EC38" i="106" s="1"/>
  <c r="EH38" i="106"/>
  <c r="BR26" i="61"/>
  <c r="DB47" i="100"/>
  <c r="CU47" i="100"/>
  <c r="CW47" i="100" s="1"/>
  <c r="BL39" i="92"/>
  <c r="BJ49" i="92"/>
  <c r="BL49" i="92" s="1"/>
  <c r="EH36" i="106"/>
  <c r="EA36" i="106"/>
  <c r="EC36" i="106" s="1"/>
  <c r="BO34" i="89"/>
  <c r="BQ34" i="89" s="1"/>
  <c r="BV34" i="89"/>
  <c r="BJ52" i="92"/>
  <c r="BL52" i="92" s="1"/>
  <c r="BL42" i="92"/>
  <c r="CE47" i="97"/>
  <c r="CG47" i="97" s="1"/>
  <c r="CL47" i="97"/>
  <c r="BW31" i="95"/>
  <c r="BY31" i="95" s="1"/>
  <c r="CD31" i="95"/>
  <c r="CB42" i="96"/>
  <c r="BZ52" i="96"/>
  <c r="CB52" i="96" s="1"/>
  <c r="D38" i="104"/>
  <c r="E37" i="104"/>
  <c r="CU46" i="98"/>
  <c r="CW46" i="98" s="1"/>
  <c r="DB46" i="98"/>
  <c r="G57" i="61"/>
  <c r="I57" i="61" s="1"/>
  <c r="K57" i="61" s="1"/>
  <c r="G55" i="61"/>
  <c r="I55" i="61" s="1"/>
  <c r="K55" i="61" s="1"/>
  <c r="G53" i="61"/>
  <c r="D57" i="61"/>
  <c r="EH30" i="107"/>
  <c r="EA30" i="107"/>
  <c r="EC30" i="107" s="1"/>
  <c r="BV31" i="92"/>
  <c r="BO31" i="92"/>
  <c r="BQ31" i="92" s="1"/>
  <c r="BV38" i="93"/>
  <c r="BO38" i="93"/>
  <c r="BQ38" i="93" s="1"/>
  <c r="D38" i="95"/>
  <c r="E37" i="95"/>
  <c r="EA35" i="106"/>
  <c r="EC35" i="106" s="1"/>
  <c r="EH35" i="106"/>
  <c r="BV46" i="89"/>
  <c r="BO46" i="89"/>
  <c r="BQ46" i="89" s="1"/>
  <c r="CP50" i="101"/>
  <c r="CR50" i="101" s="1"/>
  <c r="CR40" i="101"/>
  <c r="CZ41" i="106"/>
  <c r="BT41" i="104"/>
  <c r="BT41" i="98"/>
  <c r="BD43" i="97"/>
  <c r="CZ37" i="105"/>
  <c r="BT41" i="101"/>
  <c r="BT37" i="98"/>
  <c r="BD41" i="97"/>
  <c r="CZ41" i="105"/>
  <c r="BT37" i="101"/>
  <c r="BT43" i="98"/>
  <c r="AV37" i="95"/>
  <c r="AN41" i="93"/>
  <c r="BT43" i="104"/>
  <c r="BD41" i="96"/>
  <c r="AV41" i="95"/>
  <c r="BT37" i="104"/>
  <c r="BD43" i="96"/>
  <c r="AV37" i="94"/>
  <c r="AN43" i="93"/>
  <c r="CZ43" i="107"/>
  <c r="BT41" i="102"/>
  <c r="BT41" i="100"/>
  <c r="AN37" i="93"/>
  <c r="CZ37" i="106"/>
  <c r="CZ41" i="107"/>
  <c r="BT43" i="100"/>
  <c r="AN37" i="92"/>
  <c r="AV43" i="94"/>
  <c r="BD37" i="97"/>
  <c r="BT37" i="100"/>
  <c r="AN41" i="92"/>
  <c r="CZ43" i="106"/>
  <c r="BD37" i="96"/>
  <c r="AV41" i="94"/>
  <c r="BT43" i="102"/>
  <c r="CZ43" i="105"/>
  <c r="AV43" i="95"/>
  <c r="BT43" i="101"/>
  <c r="BT37" i="102"/>
  <c r="C36" i="83"/>
  <c r="J17" i="1"/>
  <c r="CU46" i="102"/>
  <c r="CW46" i="102" s="1"/>
  <c r="DB46" i="102"/>
  <c r="ED25" i="105"/>
  <c r="EF25" i="105" s="1"/>
  <c r="EA32" i="107"/>
  <c r="EC32" i="107" s="1"/>
  <c r="EH32" i="107"/>
  <c r="CP53" i="102"/>
  <c r="CR53" i="102" s="1"/>
  <c r="CR43" i="102"/>
  <c r="BJ53" i="93"/>
  <c r="BL53" i="93" s="1"/>
  <c r="BL43" i="93"/>
  <c r="DV49" i="105"/>
  <c r="DX49" i="105" s="1"/>
  <c r="DX39" i="105"/>
  <c r="D38" i="94"/>
  <c r="E37" i="94"/>
  <c r="CU47" i="98"/>
  <c r="CW47" i="98" s="1"/>
  <c r="DB47" i="98"/>
  <c r="BL42" i="89"/>
  <c r="BJ52" i="89"/>
  <c r="BL52" i="89" s="1"/>
  <c r="DX44" i="107"/>
  <c r="DV54" i="107"/>
  <c r="DX54" i="107" s="1"/>
  <c r="CU32" i="101"/>
  <c r="CW32" i="101" s="1"/>
  <c r="DB32" i="101"/>
  <c r="CU31" i="104"/>
  <c r="CW31" i="104" s="1"/>
  <c r="DB31" i="104"/>
  <c r="BZ25" i="94"/>
  <c r="CB25" i="94" s="1"/>
  <c r="H10" i="20"/>
  <c r="J10" i="20" s="1"/>
  <c r="L10" i="20" s="1"/>
  <c r="N10" i="20" s="1"/>
  <c r="P10" i="20" s="1"/>
  <c r="R10" i="20" s="1"/>
  <c r="T10" i="20" s="1"/>
  <c r="V10" i="20" s="1"/>
  <c r="X10" i="20" s="1"/>
  <c r="Z10" i="20" s="1"/>
  <c r="AB10" i="20" s="1"/>
  <c r="AD10" i="20" s="1"/>
  <c r="AF10" i="20" s="1"/>
  <c r="AH10" i="20" s="1"/>
  <c r="AJ10" i="20" s="1"/>
  <c r="AL10" i="20" s="1"/>
  <c r="BR25" i="92"/>
  <c r="BT25" i="92" s="1"/>
  <c r="BT43" i="95"/>
  <c r="BR53" i="95"/>
  <c r="BT53" i="95" s="1"/>
  <c r="EH30" i="106"/>
  <c r="EA30" i="106"/>
  <c r="EC30" i="106" s="1"/>
  <c r="D38" i="102"/>
  <c r="E37" i="102"/>
  <c r="DB29" i="98"/>
  <c r="CU29" i="98"/>
  <c r="CW29" i="98" s="1"/>
  <c r="DV51" i="107"/>
  <c r="DX51" i="107" s="1"/>
  <c r="DX41" i="107"/>
  <c r="CU29" i="102"/>
  <c r="CW29" i="102" s="1"/>
  <c r="DB29" i="102"/>
  <c r="DB37" i="104"/>
  <c r="CU37" i="104"/>
  <c r="CW37" i="104" s="1"/>
  <c r="EA37" i="105"/>
  <c r="EC37" i="105" s="1"/>
  <c r="EH37" i="105"/>
  <c r="BW32" i="94"/>
  <c r="BY32" i="94" s="1"/>
  <c r="CD32" i="94"/>
  <c r="BV37" i="89"/>
  <c r="BO37" i="89"/>
  <c r="BQ37" i="89" s="1"/>
  <c r="BJ49" i="89"/>
  <c r="BL49" i="89" s="1"/>
  <c r="BL39" i="89"/>
  <c r="DX43" i="105"/>
  <c r="DV53" i="105"/>
  <c r="DX53" i="105" s="1"/>
  <c r="CD37" i="94"/>
  <c r="BW37" i="94"/>
  <c r="BY37" i="94" s="1"/>
  <c r="CR43" i="101"/>
  <c r="CP53" i="101"/>
  <c r="CR53" i="101" s="1"/>
  <c r="BZ51" i="97"/>
  <c r="CB51" i="97" s="1"/>
  <c r="CB41" i="97"/>
  <c r="BL43" i="61"/>
  <c r="BJ53" i="61"/>
  <c r="BL53" i="61" s="1"/>
  <c r="DV55" i="107"/>
  <c r="DX55" i="107" s="1"/>
  <c r="DX45" i="107"/>
  <c r="BZ50" i="96"/>
  <c r="CB50" i="96" s="1"/>
  <c r="CB40" i="96"/>
  <c r="CU30" i="100"/>
  <c r="CW30" i="100" s="1"/>
  <c r="DB30" i="100"/>
  <c r="BL40" i="61"/>
  <c r="BJ50" i="61"/>
  <c r="BL50" i="61" s="1"/>
  <c r="CB40" i="97"/>
  <c r="BZ50" i="97"/>
  <c r="CB50" i="97" s="1"/>
  <c r="CP52" i="98"/>
  <c r="CR52" i="98" s="1"/>
  <c r="CR42" i="98"/>
  <c r="DB35" i="104"/>
  <c r="CU35" i="104"/>
  <c r="CW35" i="104" s="1"/>
  <c r="CU33" i="98"/>
  <c r="CW33" i="98" s="1"/>
  <c r="DB33" i="98"/>
  <c r="DB37" i="101"/>
  <c r="CU37" i="101"/>
  <c r="CW37" i="101" s="1"/>
  <c r="CE36" i="96"/>
  <c r="CG36" i="96" s="1"/>
  <c r="CL36" i="96"/>
  <c r="CU29" i="101"/>
  <c r="CW29" i="101" s="1"/>
  <c r="DB29" i="101"/>
  <c r="BW47" i="94"/>
  <c r="BY47" i="94" s="1"/>
  <c r="CD47" i="94"/>
  <c r="CU32" i="102"/>
  <c r="CW32" i="102" s="1"/>
  <c r="DB32" i="102"/>
  <c r="EH48" i="107"/>
  <c r="EA48" i="107"/>
  <c r="EC48" i="107" s="1"/>
  <c r="BZ55" i="96"/>
  <c r="CB55" i="96" s="1"/>
  <c r="CB45" i="96"/>
  <c r="CE32" i="97"/>
  <c r="CG32" i="97" s="1"/>
  <c r="CL32" i="97"/>
  <c r="BV31" i="89"/>
  <c r="BO31" i="89"/>
  <c r="BQ31" i="89" s="1"/>
  <c r="BO31" i="93"/>
  <c r="BQ31" i="93" s="1"/>
  <c r="BV31" i="93"/>
  <c r="BV35" i="89"/>
  <c r="BO35" i="89"/>
  <c r="BQ35" i="89" s="1"/>
  <c r="DB32" i="98"/>
  <c r="CU32" i="98"/>
  <c r="CW32" i="98" s="1"/>
  <c r="CD29" i="95"/>
  <c r="BW29" i="95"/>
  <c r="BY29" i="95" s="1"/>
  <c r="BL44" i="61"/>
  <c r="BJ54" i="61"/>
  <c r="BL54" i="61" s="1"/>
  <c r="BJ55" i="92"/>
  <c r="BL55" i="92" s="1"/>
  <c r="BL45" i="92"/>
  <c r="EH31" i="106"/>
  <c r="EA31" i="106"/>
  <c r="EC31" i="106" s="1"/>
  <c r="I12" i="61"/>
  <c r="K12" i="61" s="1"/>
  <c r="M12" i="61" s="1"/>
  <c r="O12" i="61" s="1"/>
  <c r="Q12" i="61" s="1"/>
  <c r="S12" i="61" s="1"/>
  <c r="U12" i="61" s="1"/>
  <c r="W12" i="61" s="1"/>
  <c r="Y12" i="61" s="1"/>
  <c r="AA12" i="61" s="1"/>
  <c r="AC12" i="61" s="1"/>
  <c r="AE12" i="61" s="1"/>
  <c r="AG12" i="61" s="1"/>
  <c r="AI12" i="61" s="1"/>
  <c r="AK12" i="61" s="1"/>
  <c r="AM12" i="61" s="1"/>
  <c r="AQ12" i="61" s="1"/>
  <c r="BV36" i="92"/>
  <c r="BO36" i="92"/>
  <c r="BQ36" i="92" s="1"/>
  <c r="BW38" i="95"/>
  <c r="BY38" i="95" s="1"/>
  <c r="CD38" i="95"/>
  <c r="EH48" i="105"/>
  <c r="EA48" i="105"/>
  <c r="EC48" i="105" s="1"/>
  <c r="BV47" i="93"/>
  <c r="BO47" i="93"/>
  <c r="BQ47" i="93" s="1"/>
  <c r="BL45" i="89"/>
  <c r="BJ55" i="89"/>
  <c r="BL55" i="89" s="1"/>
  <c r="DV53" i="107"/>
  <c r="DX53" i="107" s="1"/>
  <c r="DX43" i="107"/>
  <c r="CD34" i="95"/>
  <c r="BW34" i="95"/>
  <c r="BY34" i="95" s="1"/>
  <c r="EA46" i="106"/>
  <c r="EC46" i="106" s="1"/>
  <c r="EH46" i="106"/>
  <c r="DB38" i="104"/>
  <c r="CU38" i="104"/>
  <c r="CW38" i="104" s="1"/>
  <c r="DV51" i="106"/>
  <c r="DX51" i="106" s="1"/>
  <c r="DX41" i="106"/>
  <c r="CD35" i="94"/>
  <c r="BW35" i="94"/>
  <c r="BY35" i="94" s="1"/>
  <c r="DB30" i="102"/>
  <c r="CU30" i="102"/>
  <c r="CW30" i="102" s="1"/>
  <c r="CD48" i="95"/>
  <c r="BW48" i="95"/>
  <c r="BY48" i="95" s="1"/>
  <c r="CX25" i="101"/>
  <c r="CZ25" i="101" s="1"/>
  <c r="EH34" i="107"/>
  <c r="EA34" i="107"/>
  <c r="EC34" i="107" s="1"/>
  <c r="CR41" i="104"/>
  <c r="CP51" i="104"/>
  <c r="CR51" i="104" s="1"/>
  <c r="CX26" i="104"/>
  <c r="CZ26" i="104" s="1"/>
  <c r="BW33" i="95"/>
  <c r="BY33" i="95" s="1"/>
  <c r="CD33" i="95"/>
  <c r="DV50" i="106"/>
  <c r="DX50" i="106" s="1"/>
  <c r="DX40" i="106"/>
  <c r="CP49" i="98"/>
  <c r="CR49" i="98" s="1"/>
  <c r="CR39" i="98"/>
  <c r="BR54" i="95"/>
  <c r="BT54" i="95" s="1"/>
  <c r="BT44" i="95"/>
  <c r="BJ54" i="92"/>
  <c r="BL54" i="92" s="1"/>
  <c r="BL44" i="92"/>
  <c r="DB29" i="104"/>
  <c r="CU29" i="104"/>
  <c r="CW29" i="104" s="1"/>
  <c r="EH48" i="106"/>
  <c r="EA48" i="106"/>
  <c r="EC48" i="106" s="1"/>
  <c r="DV49" i="107"/>
  <c r="DX49" i="107" s="1"/>
  <c r="DX39" i="107"/>
  <c r="BL44" i="89"/>
  <c r="BJ54" i="89"/>
  <c r="BL54" i="89" s="1"/>
  <c r="CU36" i="98"/>
  <c r="CW36" i="98" s="1"/>
  <c r="DB36" i="98"/>
  <c r="BJ51" i="92"/>
  <c r="BL51" i="92" s="1"/>
  <c r="BL41" i="92"/>
  <c r="BO36" i="89"/>
  <c r="BQ36" i="89" s="1"/>
  <c r="BV36" i="89"/>
  <c r="EH29" i="105"/>
  <c r="EA29" i="105"/>
  <c r="EC29" i="105" s="1"/>
  <c r="BL43" i="92"/>
  <c r="BJ53" i="92"/>
  <c r="BL53" i="92" s="1"/>
  <c r="CR42" i="104"/>
  <c r="CP52" i="104"/>
  <c r="CR52" i="104" s="1"/>
  <c r="EA34" i="106"/>
  <c r="EC34" i="106" s="1"/>
  <c r="EH34" i="106"/>
  <c r="EA30" i="105"/>
  <c r="EC30" i="105" s="1"/>
  <c r="EH30" i="105"/>
  <c r="CL38" i="96"/>
  <c r="CE38" i="96"/>
  <c r="CG38" i="96" s="1"/>
  <c r="D38" i="92"/>
  <c r="E37" i="92"/>
  <c r="BV48" i="61"/>
  <c r="BO48" i="61"/>
  <c r="BQ48" i="61" s="1"/>
  <c r="DB38" i="100"/>
  <c r="CU38" i="100"/>
  <c r="CW38" i="100" s="1"/>
  <c r="EA31" i="107"/>
  <c r="EC31" i="107" s="1"/>
  <c r="EH31" i="107"/>
  <c r="CP49" i="102"/>
  <c r="CR49" i="102" s="1"/>
  <c r="CR39" i="102"/>
  <c r="DB47" i="104"/>
  <c r="CU47" i="104"/>
  <c r="CW47" i="104" s="1"/>
  <c r="EA47" i="105"/>
  <c r="EC47" i="105" s="1"/>
  <c r="EH47" i="105"/>
  <c r="BT42" i="94"/>
  <c r="BR52" i="94"/>
  <c r="BT52" i="94" s="1"/>
  <c r="BO47" i="89"/>
  <c r="BQ47" i="89" s="1"/>
  <c r="BV47" i="89"/>
  <c r="CP55" i="104"/>
  <c r="CR55" i="104" s="1"/>
  <c r="CR45" i="104"/>
  <c r="CR43" i="98"/>
  <c r="CP53" i="98"/>
  <c r="CR53" i="98" s="1"/>
  <c r="CU47" i="102"/>
  <c r="CW47" i="102" s="1"/>
  <c r="DB47" i="102"/>
  <c r="CR42" i="102"/>
  <c r="CP52" i="102"/>
  <c r="CR52" i="102" s="1"/>
  <c r="D38" i="100"/>
  <c r="E37" i="100"/>
  <c r="BJ52" i="93"/>
  <c r="BL52" i="93" s="1"/>
  <c r="BL42" i="93"/>
  <c r="BW30" i="95"/>
  <c r="BY30" i="95" s="1"/>
  <c r="CD30" i="95"/>
  <c r="F114" i="17"/>
  <c r="L112" i="17"/>
  <c r="CL48" i="97"/>
  <c r="CE48" i="97"/>
  <c r="CG48" i="97" s="1"/>
  <c r="BJ51" i="89"/>
  <c r="BL51" i="89" s="1"/>
  <c r="BL41" i="89"/>
  <c r="BJ51" i="93"/>
  <c r="BL51" i="93" s="1"/>
  <c r="BL41" i="93"/>
  <c r="CD33" i="94"/>
  <c r="BW33" i="94"/>
  <c r="BY33" i="94" s="1"/>
  <c r="CH25" i="96"/>
  <c r="CJ25" i="96" s="1"/>
  <c r="CU32" i="100"/>
  <c r="CW32" i="100" s="1"/>
  <c r="DB32" i="100"/>
  <c r="EA33" i="106"/>
  <c r="EC33" i="106" s="1"/>
  <c r="EH33" i="106"/>
  <c r="DB33" i="100"/>
  <c r="CU33" i="100"/>
  <c r="CW33" i="100" s="1"/>
  <c r="CU33" i="101"/>
  <c r="CW33" i="101" s="1"/>
  <c r="DB33" i="101"/>
  <c r="EH34" i="105"/>
  <c r="EA34" i="105"/>
  <c r="EC34" i="105" s="1"/>
  <c r="BZ55" i="97"/>
  <c r="CB55" i="97" s="1"/>
  <c r="CB45" i="97"/>
  <c r="BO32" i="93"/>
  <c r="BQ32" i="93" s="1"/>
  <c r="BV32" i="93"/>
  <c r="BT40" i="95"/>
  <c r="BR50" i="95"/>
  <c r="BT50" i="95" s="1"/>
  <c r="BO33" i="61"/>
  <c r="BQ33" i="61" s="1"/>
  <c r="BV33" i="61"/>
  <c r="DB34" i="102"/>
  <c r="CU34" i="102"/>
  <c r="CW34" i="102" s="1"/>
  <c r="CR40" i="98"/>
  <c r="CP50" i="98"/>
  <c r="CR50" i="98" s="1"/>
  <c r="E37" i="107"/>
  <c r="D38" i="107"/>
  <c r="D38" i="96"/>
  <c r="E37" i="96"/>
  <c r="CU47" i="101"/>
  <c r="CW47" i="101" s="1"/>
  <c r="DB47" i="101"/>
  <c r="DX43" i="106"/>
  <c r="DV53" i="106"/>
  <c r="DX53" i="106" s="1"/>
  <c r="EA46" i="107"/>
  <c r="EC46" i="107" s="1"/>
  <c r="EH46" i="107"/>
  <c r="BJ49" i="61"/>
  <c r="BL49" i="61" s="1"/>
  <c r="BL39" i="61"/>
  <c r="CE35" i="97"/>
  <c r="CG35" i="97" s="1"/>
  <c r="CL35" i="97"/>
  <c r="CD32" i="95"/>
  <c r="BW32" i="95"/>
  <c r="BY32" i="95" s="1"/>
  <c r="H116" i="17"/>
  <c r="H118" i="17"/>
  <c r="H120" i="17" s="1"/>
  <c r="CP54" i="102"/>
  <c r="CR54" i="102" s="1"/>
  <c r="CR44" i="102"/>
  <c r="CB42" i="97"/>
  <c r="BZ52" i="97"/>
  <c r="CB52" i="97" s="1"/>
  <c r="CR45" i="101"/>
  <c r="CP55" i="101"/>
  <c r="CR55" i="101" s="1"/>
  <c r="CD36" i="95"/>
  <c r="BW36" i="95"/>
  <c r="BY36" i="95" s="1"/>
  <c r="DB34" i="98"/>
  <c r="CU34" i="98"/>
  <c r="CW34" i="98" s="1"/>
  <c r="CU38" i="98"/>
  <c r="CW38" i="98" s="1"/>
  <c r="DB38" i="98"/>
  <c r="BO34" i="92"/>
  <c r="BQ34" i="92" s="1"/>
  <c r="BV34" i="92"/>
  <c r="D38" i="89"/>
  <c r="E37" i="89"/>
  <c r="CL34" i="97"/>
  <c r="CE34" i="97"/>
  <c r="CG34" i="97" s="1"/>
  <c r="BV34" i="61"/>
  <c r="BO34" i="61"/>
  <c r="BQ34" i="61" s="1"/>
  <c r="BV46" i="93"/>
  <c r="BO46" i="93"/>
  <c r="BQ46" i="93" s="1"/>
  <c r="D38" i="101"/>
  <c r="E37" i="101"/>
  <c r="BO46" i="92"/>
  <c r="BQ46" i="92" s="1"/>
  <c r="BV46" i="92"/>
  <c r="D38" i="93"/>
  <c r="E37" i="93"/>
  <c r="BO29" i="61"/>
  <c r="BQ29" i="61" s="1"/>
  <c r="BV29" i="61"/>
  <c r="CU30" i="101"/>
  <c r="CW30" i="101" s="1"/>
  <c r="DB30" i="101"/>
  <c r="C5" i="83"/>
  <c r="H18" i="1"/>
  <c r="J18" i="1" s="1"/>
  <c r="L18" i="1" s="1"/>
  <c r="N18" i="1" s="1"/>
  <c r="BR52" i="95"/>
  <c r="BT52" i="95" s="1"/>
  <c r="BT42" i="95"/>
  <c r="CR45" i="100"/>
  <c r="CP55" i="100"/>
  <c r="CR55" i="100" s="1"/>
  <c r="BZ49" i="97"/>
  <c r="CB49" i="97" s="1"/>
  <c r="CB39" i="97"/>
  <c r="I116" i="17"/>
  <c r="I122" i="17" s="1"/>
  <c r="I118" i="17"/>
  <c r="I120" i="17" s="1"/>
  <c r="CP52" i="101"/>
  <c r="CR52" i="101" s="1"/>
  <c r="CR42" i="101"/>
  <c r="C50" i="20"/>
  <c r="F50" i="20"/>
  <c r="H50" i="20" s="1"/>
  <c r="F46" i="20"/>
  <c r="H46" i="20" s="1"/>
  <c r="F48" i="20"/>
  <c r="H48" i="20" s="1"/>
  <c r="CU35" i="101"/>
  <c r="CW35" i="101" s="1"/>
  <c r="DB35" i="101"/>
  <c r="BO37" i="93"/>
  <c r="BQ37" i="93" s="1"/>
  <c r="BV37" i="93"/>
  <c r="EA33" i="107"/>
  <c r="EC33" i="107" s="1"/>
  <c r="EH33" i="107"/>
  <c r="DB48" i="98"/>
  <c r="CU48" i="98"/>
  <c r="CW48" i="98" s="1"/>
  <c r="DB37" i="100"/>
  <c r="CU37" i="100"/>
  <c r="CW37" i="100" s="1"/>
  <c r="BO37" i="92"/>
  <c r="BQ37" i="92" s="1"/>
  <c r="BV37" i="92"/>
  <c r="CL36" i="97"/>
  <c r="CE36" i="97"/>
  <c r="CG36" i="97" s="1"/>
  <c r="CD47" i="95"/>
  <c r="BW47" i="95"/>
  <c r="BY47" i="95" s="1"/>
  <c r="BO32" i="92"/>
  <c r="BQ32" i="92" s="1"/>
  <c r="BV32" i="92"/>
  <c r="CL37" i="97"/>
  <c r="CE37" i="97"/>
  <c r="CG37" i="97" s="1"/>
  <c r="BR51" i="95"/>
  <c r="BT51" i="95" s="1"/>
  <c r="BT41" i="95"/>
  <c r="CE32" i="96"/>
  <c r="CG32" i="96" s="1"/>
  <c r="CL32" i="96"/>
  <c r="I10" i="61"/>
  <c r="DV50" i="107"/>
  <c r="DX50" i="107" s="1"/>
  <c r="DX40" i="107"/>
  <c r="BO48" i="93"/>
  <c r="BQ48" i="93" s="1"/>
  <c r="BV48" i="93"/>
  <c r="DV55" i="106"/>
  <c r="DX55" i="106" s="1"/>
  <c r="DX45" i="106"/>
  <c r="BV30" i="92"/>
  <c r="BO30" i="92"/>
  <c r="BQ30" i="92" s="1"/>
  <c r="DB31" i="98"/>
  <c r="CU31" i="98"/>
  <c r="CW31" i="98" s="1"/>
  <c r="DB36" i="102"/>
  <c r="CU36" i="102"/>
  <c r="CW36" i="102" s="1"/>
  <c r="DX42" i="107"/>
  <c r="DV52" i="107"/>
  <c r="DX52" i="107" s="1"/>
  <c r="DB33" i="102"/>
  <c r="CU33" i="102"/>
  <c r="CW33" i="102" s="1"/>
  <c r="BO33" i="93"/>
  <c r="BQ33" i="93" s="1"/>
  <c r="BV33" i="93"/>
  <c r="DB37" i="98"/>
  <c r="CU37" i="98"/>
  <c r="CW37" i="98" s="1"/>
  <c r="BO32" i="89"/>
  <c r="BQ32" i="89" s="1"/>
  <c r="BV32" i="89"/>
  <c r="CU30" i="104"/>
  <c r="CW30" i="104" s="1"/>
  <c r="DB30" i="104"/>
  <c r="BO30" i="93"/>
  <c r="BQ30" i="93" s="1"/>
  <c r="BV30" i="93"/>
  <c r="DX41" i="105"/>
  <c r="DV51" i="105"/>
  <c r="DX51" i="105" s="1"/>
  <c r="DV52" i="106"/>
  <c r="DX52" i="106" s="1"/>
  <c r="DX42" i="106"/>
  <c r="CD30" i="94"/>
  <c r="BW30" i="94"/>
  <c r="BY30" i="94" s="1"/>
  <c r="BL41" i="61"/>
  <c r="BJ51" i="61"/>
  <c r="BL51" i="61" s="1"/>
  <c r="CU29" i="100"/>
  <c r="CW29" i="100" s="1"/>
  <c r="DB29" i="100"/>
  <c r="EH29" i="107"/>
  <c r="EA29" i="107"/>
  <c r="EC29" i="107" s="1"/>
  <c r="BV47" i="92"/>
  <c r="BO47" i="92"/>
  <c r="BQ47" i="92" s="1"/>
  <c r="CE46" i="97"/>
  <c r="CG46" i="97" s="1"/>
  <c r="CL46" i="97"/>
  <c r="CD37" i="95"/>
  <c r="BW37" i="95"/>
  <c r="BY37" i="95" s="1"/>
  <c r="CD36" i="94"/>
  <c r="BW36" i="94"/>
  <c r="BY36" i="94" s="1"/>
  <c r="BO35" i="61"/>
  <c r="BQ35" i="61" s="1"/>
  <c r="BV35" i="61"/>
  <c r="DB36" i="100"/>
  <c r="CU36" i="100"/>
  <c r="CW36" i="100" s="1"/>
  <c r="CP51" i="102"/>
  <c r="CR51" i="102" s="1"/>
  <c r="CR41" i="102"/>
  <c r="CB43" i="97"/>
  <c r="BZ53" i="97"/>
  <c r="CB53" i="97" s="1"/>
  <c r="EA32" i="105"/>
  <c r="EC32" i="105" s="1"/>
  <c r="EH32" i="105"/>
  <c r="CE29" i="96"/>
  <c r="CG29" i="96" s="1"/>
  <c r="CL29" i="96"/>
  <c r="BL42" i="61"/>
  <c r="BJ52" i="61"/>
  <c r="BL52" i="61" s="1"/>
  <c r="I14" i="61"/>
  <c r="K14" i="61" s="1"/>
  <c r="M14" i="61" s="1"/>
  <c r="O14" i="61" s="1"/>
  <c r="Q14" i="61" s="1"/>
  <c r="S14" i="61" s="1"/>
  <c r="U14" i="61" s="1"/>
  <c r="W14" i="61" s="1"/>
  <c r="Y14" i="61" s="1"/>
  <c r="AA14" i="61" s="1"/>
  <c r="AC14" i="61" s="1"/>
  <c r="AE14" i="61" s="1"/>
  <c r="AG14" i="61" s="1"/>
  <c r="AI14" i="61" s="1"/>
  <c r="AK14" i="61" s="1"/>
  <c r="AM14" i="61" s="1"/>
  <c r="AQ14" i="61" s="1"/>
  <c r="DB36" i="101"/>
  <c r="CU36" i="101"/>
  <c r="CW36" i="101" s="1"/>
  <c r="DB48" i="102"/>
  <c r="CU48" i="102"/>
  <c r="CW48" i="102" s="1"/>
  <c r="BR55" i="95"/>
  <c r="BT55" i="95" s="1"/>
  <c r="BT45" i="95"/>
  <c r="CD31" i="94"/>
  <c r="BW31" i="94"/>
  <c r="BY31" i="94" s="1"/>
  <c r="CE47" i="96"/>
  <c r="CG47" i="96" s="1"/>
  <c r="CL47" i="96"/>
  <c r="BL40" i="92"/>
  <c r="BJ50" i="92"/>
  <c r="BL50" i="92" s="1"/>
  <c r="CP51" i="98"/>
  <c r="CR51" i="98" s="1"/>
  <c r="CR41" i="98"/>
  <c r="CP53" i="104"/>
  <c r="CR53" i="104" s="1"/>
  <c r="CR43" i="104"/>
  <c r="CP54" i="101"/>
  <c r="CR54" i="101" s="1"/>
  <c r="CR44" i="101"/>
  <c r="CR44" i="104"/>
  <c r="CP54" i="104"/>
  <c r="CR54" i="104" s="1"/>
  <c r="BL44" i="93"/>
  <c r="BJ54" i="93"/>
  <c r="BL54" i="93" s="1"/>
  <c r="EH29" i="106"/>
  <c r="EA29" i="106"/>
  <c r="EC29" i="106" s="1"/>
  <c r="J116" i="17"/>
  <c r="J122" i="17" s="1"/>
  <c r="J118" i="17"/>
  <c r="J120" i="17" s="1"/>
  <c r="DB31" i="100"/>
  <c r="CU31" i="100"/>
  <c r="CW31" i="100" s="1"/>
  <c r="BV33" i="92"/>
  <c r="BO33" i="92"/>
  <c r="BQ33" i="92" s="1"/>
  <c r="CU32" i="104"/>
  <c r="CW32" i="104" s="1"/>
  <c r="DB32" i="104"/>
  <c r="BZ25" i="95"/>
  <c r="CB25" i="95" s="1"/>
  <c r="DX44" i="106"/>
  <c r="DV54" i="106"/>
  <c r="DX54" i="106" s="1"/>
  <c r="CD34" i="94"/>
  <c r="BW34" i="94"/>
  <c r="BY34" i="94" s="1"/>
  <c r="BV38" i="89"/>
  <c r="BO38" i="89"/>
  <c r="BQ38" i="89" s="1"/>
  <c r="H8" i="20"/>
  <c r="J8" i="20" s="1"/>
  <c r="L8" i="20" s="1"/>
  <c r="N8" i="20" s="1"/>
  <c r="P8" i="20" s="1"/>
  <c r="R8" i="20" s="1"/>
  <c r="T8" i="20" s="1"/>
  <c r="V8" i="20" s="1"/>
  <c r="X8" i="20" s="1"/>
  <c r="Z8" i="20" s="1"/>
  <c r="AB8" i="20" s="1"/>
  <c r="AD8" i="20" s="1"/>
  <c r="AF8" i="20" s="1"/>
  <c r="AH8" i="20" s="1"/>
  <c r="AJ8" i="20" s="1"/>
  <c r="AL8" i="20" s="1"/>
  <c r="CP55" i="102"/>
  <c r="CR55" i="102" s="1"/>
  <c r="CR45" i="102"/>
  <c r="DX40" i="105"/>
  <c r="DV50" i="105"/>
  <c r="DX50" i="105" s="1"/>
  <c r="CL48" i="96"/>
  <c r="CE48" i="96"/>
  <c r="CG48" i="96" s="1"/>
  <c r="BO38" i="61"/>
  <c r="BQ38" i="61" s="1"/>
  <c r="BV38" i="61"/>
  <c r="CU48" i="100"/>
  <c r="CW48" i="100" s="1"/>
  <c r="DB48" i="100"/>
  <c r="DB31" i="101"/>
  <c r="CU31" i="101"/>
  <c r="CW31" i="101" s="1"/>
  <c r="CU36" i="104"/>
  <c r="CW36" i="104" s="1"/>
  <c r="DB36" i="104"/>
  <c r="BZ53" i="96"/>
  <c r="CB53" i="96" s="1"/>
  <c r="CB43" i="96"/>
  <c r="BW48" i="94"/>
  <c r="BY48" i="94" s="1"/>
  <c r="CD48" i="94"/>
  <c r="CP54" i="100"/>
  <c r="CR54" i="100" s="1"/>
  <c r="CR44" i="100"/>
  <c r="CP52" i="100"/>
  <c r="CR52" i="100" s="1"/>
  <c r="CR42" i="100"/>
  <c r="BT39" i="94"/>
  <c r="BR49" i="94"/>
  <c r="BT49" i="94" s="1"/>
  <c r="CP49" i="101"/>
  <c r="CR49" i="101" s="1"/>
  <c r="CR39" i="101"/>
  <c r="CE31" i="96"/>
  <c r="CG31" i="96" s="1"/>
  <c r="CL31" i="96"/>
  <c r="BO46" i="61"/>
  <c r="BQ46" i="61" s="1"/>
  <c r="BV46" i="61"/>
  <c r="EA36" i="105"/>
  <c r="EC36" i="105" s="1"/>
  <c r="EH36" i="105"/>
  <c r="DB48" i="101"/>
  <c r="CU48" i="101"/>
  <c r="CW48" i="101" s="1"/>
  <c r="BV29" i="89"/>
  <c r="BO29" i="89"/>
  <c r="BQ29" i="89" s="1"/>
  <c r="BL39" i="93"/>
  <c r="BJ49" i="93"/>
  <c r="BL49" i="93" s="1"/>
  <c r="BZ51" i="96"/>
  <c r="CB51" i="96" s="1"/>
  <c r="CB41" i="96"/>
  <c r="CL31" i="97"/>
  <c r="CE31" i="97"/>
  <c r="CG31" i="97" s="1"/>
  <c r="D38" i="61"/>
  <c r="E37" i="61"/>
  <c r="E37" i="106"/>
  <c r="D38" i="106"/>
  <c r="DB38" i="101"/>
  <c r="CU38" i="101"/>
  <c r="CW38" i="101" s="1"/>
  <c r="CD46" i="95"/>
  <c r="BW46" i="95"/>
  <c r="BY46" i="95" s="1"/>
  <c r="CR44" i="98"/>
  <c r="CP54" i="98"/>
  <c r="CR54" i="98" s="1"/>
  <c r="CL30" i="97"/>
  <c r="CE30" i="97"/>
  <c r="CG30" i="97" s="1"/>
  <c r="EH37" i="107"/>
  <c r="EA37" i="107"/>
  <c r="EC37" i="107" s="1"/>
  <c r="BZ54" i="97"/>
  <c r="CB54" i="97" s="1"/>
  <c r="CB44" i="97"/>
  <c r="BJ50" i="89"/>
  <c r="BL50" i="89" s="1"/>
  <c r="BL40" i="89"/>
  <c r="CE46" i="96"/>
  <c r="CG46" i="96" s="1"/>
  <c r="CL46" i="96"/>
  <c r="BO36" i="93"/>
  <c r="BQ36" i="93" s="1"/>
  <c r="BV36" i="93"/>
  <c r="CE29" i="97"/>
  <c r="CG29" i="97" s="1"/>
  <c r="CL29" i="97"/>
  <c r="AN6" i="20"/>
  <c r="AL6" i="20"/>
  <c r="EH47" i="106"/>
  <c r="EA47" i="106"/>
  <c r="EC47" i="106" s="1"/>
  <c r="BO47" i="61"/>
  <c r="BQ47" i="61" s="1"/>
  <c r="BV47" i="61"/>
  <c r="BT39" i="95"/>
  <c r="BR49" i="95"/>
  <c r="BT49" i="95" s="1"/>
  <c r="D38" i="105"/>
  <c r="E37" i="105"/>
  <c r="BO30" i="89"/>
  <c r="BQ30" i="89" s="1"/>
  <c r="BV30" i="89"/>
  <c r="BV29" i="92"/>
  <c r="BO29" i="92"/>
  <c r="BQ29" i="92" s="1"/>
  <c r="CU35" i="98"/>
  <c r="CW35" i="98" s="1"/>
  <c r="DB35" i="98"/>
  <c r="BO35" i="92"/>
  <c r="BQ35" i="92" s="1"/>
  <c r="BV35" i="92"/>
  <c r="EH36" i="107"/>
  <c r="EA36" i="107"/>
  <c r="EC36" i="107" s="1"/>
  <c r="CP50" i="104"/>
  <c r="CR50" i="104" s="1"/>
  <c r="CR40" i="104"/>
  <c r="BL40" i="93"/>
  <c r="BJ50" i="93"/>
  <c r="BL50" i="93" s="1"/>
  <c r="EA31" i="105"/>
  <c r="EC31" i="105" s="1"/>
  <c r="EH31" i="105"/>
  <c r="EH32" i="106"/>
  <c r="EA32" i="106"/>
  <c r="EC32" i="106" s="1"/>
  <c r="BT40" i="94"/>
  <c r="BR50" i="94"/>
  <c r="BT50" i="94" s="1"/>
  <c r="BV31" i="61"/>
  <c r="BO31" i="61"/>
  <c r="CP49" i="100"/>
  <c r="CR49" i="100" s="1"/>
  <c r="CR39" i="100"/>
  <c r="DB37" i="102"/>
  <c r="CU37" i="102"/>
  <c r="CW37" i="102" s="1"/>
  <c r="EH33" i="105"/>
  <c r="EA33" i="105"/>
  <c r="EC33" i="105" s="1"/>
  <c r="CB44" i="96"/>
  <c r="BZ54" i="96"/>
  <c r="CB54" i="96" s="1"/>
  <c r="BW46" i="94"/>
  <c r="BY46" i="94" s="1"/>
  <c r="CD46" i="94"/>
  <c r="BJ55" i="61"/>
  <c r="BL55" i="61" s="1"/>
  <c r="BL45" i="61"/>
  <c r="CU46" i="100"/>
  <c r="CW46" i="100" s="1"/>
  <c r="DB46" i="100"/>
  <c r="CU31" i="102"/>
  <c r="CW31" i="102" s="1"/>
  <c r="DB31" i="102"/>
  <c r="CL33" i="97"/>
  <c r="CE33" i="97"/>
  <c r="CG33" i="97" s="1"/>
  <c r="DX42" i="105"/>
  <c r="DV52" i="105"/>
  <c r="DX52" i="105" s="1"/>
  <c r="BZ49" i="96"/>
  <c r="CB49" i="96" s="1"/>
  <c r="CB39" i="96"/>
  <c r="D38" i="97"/>
  <c r="E37" i="97"/>
  <c r="BV32" i="61"/>
  <c r="BO32" i="61"/>
  <c r="BQ32" i="61" s="1"/>
  <c r="CU46" i="101"/>
  <c r="CW46" i="101" s="1"/>
  <c r="DB46" i="101"/>
  <c r="DB38" i="102"/>
  <c r="CU38" i="102"/>
  <c r="CW38" i="102" s="1"/>
  <c r="BW35" i="95"/>
  <c r="BY35" i="95" s="1"/>
  <c r="CD35" i="95"/>
  <c r="BT41" i="94"/>
  <c r="BR51" i="94"/>
  <c r="BT51" i="94" s="1"/>
  <c r="CL37" i="96"/>
  <c r="CE37" i="96"/>
  <c r="CG37" i="96" s="1"/>
  <c r="CX26" i="102"/>
  <c r="CZ26" i="102" s="1"/>
  <c r="DB33" i="104"/>
  <c r="CU33" i="104"/>
  <c r="CW33" i="104" s="1"/>
  <c r="CU34" i="101"/>
  <c r="CW34" i="101" s="1"/>
  <c r="DB34" i="101"/>
  <c r="CU34" i="104"/>
  <c r="CW34" i="104" s="1"/>
  <c r="DB34" i="104"/>
  <c r="BV34" i="93"/>
  <c r="BO34" i="93"/>
  <c r="BQ34" i="93" s="1"/>
  <c r="DV49" i="106"/>
  <c r="DX49" i="106" s="1"/>
  <c r="DX39" i="106"/>
  <c r="D38" i="98"/>
  <c r="E37" i="98"/>
  <c r="K116" i="17"/>
  <c r="K122" i="17" s="1"/>
  <c r="K118" i="17"/>
  <c r="CP51" i="100"/>
  <c r="CR51" i="100" s="1"/>
  <c r="CR41" i="100"/>
  <c r="EA35" i="107"/>
  <c r="EC35" i="107" s="1"/>
  <c r="EH35" i="107"/>
  <c r="BV38" i="92"/>
  <c r="BO38" i="92"/>
  <c r="BQ38" i="92" s="1"/>
  <c r="CL38" i="97"/>
  <c r="CE38" i="97"/>
  <c r="CG38" i="97" s="1"/>
  <c r="EA46" i="105"/>
  <c r="EC46" i="105" s="1"/>
  <c r="EH46" i="105"/>
  <c r="CE30" i="96"/>
  <c r="CG30" i="96" s="1"/>
  <c r="CL30" i="96"/>
  <c r="BR54" i="94"/>
  <c r="BT54" i="94" s="1"/>
  <c r="BT44" i="94"/>
  <c r="BO48" i="89"/>
  <c r="BQ48" i="89" s="1"/>
  <c r="BV48" i="89"/>
  <c r="CP50" i="100"/>
  <c r="CR50" i="100" s="1"/>
  <c r="CR40" i="100"/>
  <c r="CU35" i="102"/>
  <c r="CW35" i="102" s="1"/>
  <c r="DB35" i="102"/>
  <c r="CZ36" i="107"/>
  <c r="BT36" i="100"/>
  <c r="BD38" i="96"/>
  <c r="BT36" i="102"/>
  <c r="CZ38" i="106"/>
  <c r="BT38" i="102"/>
  <c r="AV38" i="95"/>
  <c r="BD36" i="96"/>
  <c r="AV38" i="94"/>
  <c r="CZ38" i="105"/>
  <c r="BT38" i="98"/>
  <c r="BT36" i="101"/>
  <c r="AV36" i="95"/>
  <c r="CZ36" i="106"/>
  <c r="CZ36" i="105"/>
  <c r="BT38" i="101"/>
  <c r="BD36" i="97"/>
  <c r="BT38" i="100"/>
  <c r="AN36" i="92"/>
  <c r="BT36" i="104"/>
  <c r="BT36" i="98"/>
  <c r="AN38" i="89"/>
  <c r="CZ38" i="107"/>
  <c r="AN38" i="93"/>
  <c r="AN38" i="92"/>
  <c r="AN36" i="93"/>
  <c r="AV36" i="94"/>
  <c r="BT38" i="104"/>
  <c r="BD38" i="97"/>
  <c r="C10" i="83"/>
  <c r="C21" i="83"/>
  <c r="N16" i="1"/>
  <c r="DV55" i="105"/>
  <c r="DX55" i="105" s="1"/>
  <c r="DX45" i="105"/>
  <c r="BT43" i="94"/>
  <c r="BR53" i="94"/>
  <c r="BT53" i="94" s="1"/>
  <c r="BO30" i="61"/>
  <c r="BQ30" i="61" s="1"/>
  <c r="BV30" i="61"/>
  <c r="CR41" i="101"/>
  <c r="CP51" i="101"/>
  <c r="CR51" i="101" s="1"/>
  <c r="CU46" i="104"/>
  <c r="CW46" i="104" s="1"/>
  <c r="DB46" i="104"/>
  <c r="CE33" i="96"/>
  <c r="CG33" i="96" s="1"/>
  <c r="CL33" i="96"/>
  <c r="BW38" i="94"/>
  <c r="BY38" i="94" s="1"/>
  <c r="CD38" i="94"/>
  <c r="CU34" i="100"/>
  <c r="CW34" i="100" s="1"/>
  <c r="DB34" i="100"/>
  <c r="B89" i="17"/>
  <c r="F83" i="17"/>
  <c r="F91" i="17" s="1"/>
  <c r="BT30" i="113" l="1"/>
  <c r="BR31" i="113"/>
  <c r="EF31" i="112"/>
  <c r="ED32" i="112"/>
  <c r="ED26" i="106"/>
  <c r="EF26" i="106" s="1"/>
  <c r="AN14" i="61"/>
  <c r="CX26" i="98"/>
  <c r="CZ26" i="98" s="1"/>
  <c r="BR26" i="92"/>
  <c r="BT26" i="92" s="1"/>
  <c r="CH26" i="97"/>
  <c r="CJ26" i="97" s="1"/>
  <c r="CX26" i="100"/>
  <c r="CZ26" i="100" s="1"/>
  <c r="O10" i="113"/>
  <c r="Q10" i="113" s="1"/>
  <c r="CH27" i="97"/>
  <c r="K53" i="113"/>
  <c r="CX26" i="101"/>
  <c r="D39" i="112"/>
  <c r="E38" i="112"/>
  <c r="CZ44" i="112"/>
  <c r="CZ40" i="112"/>
  <c r="D39" i="113"/>
  <c r="E38" i="113"/>
  <c r="BR26" i="89"/>
  <c r="BZ26" i="94"/>
  <c r="BZ27" i="94" s="1"/>
  <c r="AN8" i="20"/>
  <c r="ED26" i="107"/>
  <c r="CE53" i="96"/>
  <c r="CG53" i="96" s="1"/>
  <c r="CL53" i="96"/>
  <c r="EH44" i="106"/>
  <c r="EA44" i="106"/>
  <c r="EC44" i="106" s="1"/>
  <c r="CL44" i="96"/>
  <c r="CE44" i="96"/>
  <c r="CG44" i="96" s="1"/>
  <c r="CU41" i="100"/>
  <c r="CW41" i="100" s="1"/>
  <c r="DB41" i="100"/>
  <c r="H19" i="1"/>
  <c r="J19" i="1" s="1"/>
  <c r="L19" i="1" s="1"/>
  <c r="N19" i="1" s="1"/>
  <c r="BO43" i="92"/>
  <c r="BQ43" i="92" s="1"/>
  <c r="BV43" i="92"/>
  <c r="EH50" i="106"/>
  <c r="EA50" i="106"/>
  <c r="EC50" i="106" s="1"/>
  <c r="CX27" i="98"/>
  <c r="EA41" i="106"/>
  <c r="EC41" i="106" s="1"/>
  <c r="EH41" i="106"/>
  <c r="DB45" i="101"/>
  <c r="CU45" i="101"/>
  <c r="CW45" i="101" s="1"/>
  <c r="CD39" i="95"/>
  <c r="BW39" i="95"/>
  <c r="BY39" i="95" s="1"/>
  <c r="CL39" i="97"/>
  <c r="CE39" i="97"/>
  <c r="CG39" i="97" s="1"/>
  <c r="BW51" i="95"/>
  <c r="BY51" i="95" s="1"/>
  <c r="CD51" i="95"/>
  <c r="CU43" i="98"/>
  <c r="CW43" i="98" s="1"/>
  <c r="DB43" i="98"/>
  <c r="DB44" i="100"/>
  <c r="CU44" i="100"/>
  <c r="CW44" i="100" s="1"/>
  <c r="D39" i="97"/>
  <c r="E38" i="97"/>
  <c r="BO40" i="93"/>
  <c r="BQ40" i="93" s="1"/>
  <c r="BV40" i="93"/>
  <c r="CL54" i="97"/>
  <c r="CE54" i="97"/>
  <c r="CG54" i="97" s="1"/>
  <c r="EH49" i="106"/>
  <c r="EA49" i="106"/>
  <c r="EC49" i="106" s="1"/>
  <c r="CU40" i="100"/>
  <c r="CW40" i="100" s="1"/>
  <c r="DB40" i="100"/>
  <c r="DB44" i="104"/>
  <c r="CU44" i="104"/>
  <c r="CW44" i="104" s="1"/>
  <c r="BV40" i="92"/>
  <c r="BO40" i="92"/>
  <c r="BQ40" i="92" s="1"/>
  <c r="EA41" i="105"/>
  <c r="EC41" i="105" s="1"/>
  <c r="EH41" i="105"/>
  <c r="D39" i="107"/>
  <c r="E38" i="107"/>
  <c r="CD50" i="95"/>
  <c r="BW50" i="95"/>
  <c r="BY50" i="95" s="1"/>
  <c r="DB43" i="102"/>
  <c r="CU43" i="102"/>
  <c r="CW43" i="102" s="1"/>
  <c r="CE52" i="96"/>
  <c r="CG52" i="96" s="1"/>
  <c r="CL52" i="96"/>
  <c r="CU50" i="102"/>
  <c r="CW50" i="102" s="1"/>
  <c r="DB50" i="102"/>
  <c r="DB50" i="100"/>
  <c r="CU50" i="100"/>
  <c r="CW50" i="100" s="1"/>
  <c r="CD50" i="94"/>
  <c r="BW50" i="94"/>
  <c r="BY50" i="94" s="1"/>
  <c r="CU54" i="100"/>
  <c r="CW54" i="100" s="1"/>
  <c r="DB54" i="100"/>
  <c r="EH40" i="107"/>
  <c r="EA40" i="107"/>
  <c r="EC40" i="107" s="1"/>
  <c r="CE49" i="97"/>
  <c r="CG49" i="97" s="1"/>
  <c r="CL49" i="97"/>
  <c r="CU45" i="104"/>
  <c r="CW45" i="104" s="1"/>
  <c r="DB45" i="104"/>
  <c r="BV54" i="89"/>
  <c r="BO54" i="89"/>
  <c r="BQ54" i="89" s="1"/>
  <c r="EA41" i="107"/>
  <c r="EC41" i="107" s="1"/>
  <c r="EH41" i="107"/>
  <c r="CU40" i="101"/>
  <c r="CW40" i="101" s="1"/>
  <c r="DB40" i="101"/>
  <c r="CU45" i="98"/>
  <c r="CW45" i="98" s="1"/>
  <c r="DB45" i="98"/>
  <c r="BW40" i="94"/>
  <c r="BY40" i="94" s="1"/>
  <c r="CD40" i="94"/>
  <c r="CE52" i="97"/>
  <c r="CG52" i="97" s="1"/>
  <c r="CL52" i="97"/>
  <c r="DB55" i="104"/>
  <c r="CU55" i="104"/>
  <c r="CW55" i="104" s="1"/>
  <c r="BV50" i="61"/>
  <c r="BO50" i="61"/>
  <c r="BQ50" i="61" s="1"/>
  <c r="EH51" i="107"/>
  <c r="EA51" i="107"/>
  <c r="EC51" i="107" s="1"/>
  <c r="CU50" i="101"/>
  <c r="CW50" i="101" s="1"/>
  <c r="DB50" i="101"/>
  <c r="DB53" i="100"/>
  <c r="CU53" i="100"/>
  <c r="CW53" i="100" s="1"/>
  <c r="BO45" i="61"/>
  <c r="BQ45" i="61" s="1"/>
  <c r="BV45" i="61"/>
  <c r="CE51" i="96"/>
  <c r="CG51" i="96" s="1"/>
  <c r="CL51" i="96"/>
  <c r="CE42" i="97"/>
  <c r="CG42" i="97" s="1"/>
  <c r="CL42" i="97"/>
  <c r="F116" i="17"/>
  <c r="F122" i="17" s="1"/>
  <c r="F118" i="17"/>
  <c r="F120" i="17" s="1"/>
  <c r="EA39" i="107"/>
  <c r="EC39" i="107" s="1"/>
  <c r="EH39" i="107"/>
  <c r="BO45" i="92"/>
  <c r="BQ45" i="92" s="1"/>
  <c r="BV45" i="92"/>
  <c r="EH43" i="105"/>
  <c r="EA43" i="105"/>
  <c r="EC43" i="105" s="1"/>
  <c r="D39" i="101"/>
  <c r="E38" i="101"/>
  <c r="BV55" i="89"/>
  <c r="BO55" i="89"/>
  <c r="BQ55" i="89" s="1"/>
  <c r="EH55" i="105"/>
  <c r="EA55" i="105"/>
  <c r="EC55" i="105" s="1"/>
  <c r="DB41" i="101"/>
  <c r="CU41" i="101"/>
  <c r="CW41" i="101" s="1"/>
  <c r="EA39" i="106"/>
  <c r="EC39" i="106" s="1"/>
  <c r="EH39" i="106"/>
  <c r="CE54" i="96"/>
  <c r="CG54" i="96" s="1"/>
  <c r="CL54" i="96"/>
  <c r="BQ31" i="61"/>
  <c r="AP35" i="61"/>
  <c r="BO50" i="93"/>
  <c r="BQ50" i="93" s="1"/>
  <c r="BV50" i="93"/>
  <c r="BW49" i="95"/>
  <c r="BY49" i="95" s="1"/>
  <c r="CD49" i="95"/>
  <c r="CE44" i="97"/>
  <c r="CG44" i="97" s="1"/>
  <c r="CL44" i="97"/>
  <c r="DB52" i="100"/>
  <c r="CU52" i="100"/>
  <c r="CW52" i="100" s="1"/>
  <c r="CE43" i="96"/>
  <c r="CG43" i="96" s="1"/>
  <c r="CL43" i="96"/>
  <c r="DB55" i="102"/>
  <c r="CU55" i="102"/>
  <c r="CW55" i="102" s="1"/>
  <c r="EA54" i="106"/>
  <c r="EC54" i="106" s="1"/>
  <c r="EH54" i="106"/>
  <c r="DB54" i="104"/>
  <c r="CU54" i="104"/>
  <c r="CW54" i="104" s="1"/>
  <c r="BO50" i="92"/>
  <c r="BQ50" i="92" s="1"/>
  <c r="BV50" i="92"/>
  <c r="CD55" i="95"/>
  <c r="BW55" i="95"/>
  <c r="BY55" i="95" s="1"/>
  <c r="BV42" i="61"/>
  <c r="BO42" i="61"/>
  <c r="BQ42" i="61" s="1"/>
  <c r="DB51" i="102"/>
  <c r="CU51" i="102"/>
  <c r="CW51" i="102" s="1"/>
  <c r="EA51" i="105"/>
  <c r="EC51" i="105" s="1"/>
  <c r="EH51" i="105"/>
  <c r="BW41" i="95"/>
  <c r="BY41" i="95" s="1"/>
  <c r="CD41" i="95"/>
  <c r="CX27" i="104"/>
  <c r="DB55" i="101"/>
  <c r="CU55" i="101"/>
  <c r="CW55" i="101" s="1"/>
  <c r="X116" i="17"/>
  <c r="H122" i="17"/>
  <c r="BO49" i="61"/>
  <c r="BQ49" i="61" s="1"/>
  <c r="BV49" i="61"/>
  <c r="D39" i="96"/>
  <c r="E38" i="96"/>
  <c r="BV51" i="89"/>
  <c r="BO51" i="89"/>
  <c r="BQ51" i="89" s="1"/>
  <c r="BV52" i="93"/>
  <c r="BO52" i="93"/>
  <c r="BQ52" i="93" s="1"/>
  <c r="CU53" i="98"/>
  <c r="CW53" i="98" s="1"/>
  <c r="DB53" i="98"/>
  <c r="BV53" i="92"/>
  <c r="BO53" i="92"/>
  <c r="BQ53" i="92" s="1"/>
  <c r="EH40" i="106"/>
  <c r="EA40" i="106"/>
  <c r="EC40" i="106" s="1"/>
  <c r="BZ26" i="95"/>
  <c r="AN12" i="61"/>
  <c r="CU52" i="98"/>
  <c r="CW52" i="98" s="1"/>
  <c r="DB52" i="98"/>
  <c r="CL50" i="96"/>
  <c r="CE50" i="96"/>
  <c r="CG50" i="96" s="1"/>
  <c r="CU43" i="101"/>
  <c r="CW43" i="101" s="1"/>
  <c r="DB43" i="101"/>
  <c r="BV42" i="89"/>
  <c r="BO42" i="89"/>
  <c r="BQ42" i="89" s="1"/>
  <c r="BV53" i="93"/>
  <c r="BO53" i="93"/>
  <c r="BQ53" i="93" s="1"/>
  <c r="BT40" i="101"/>
  <c r="BT44" i="100"/>
  <c r="BT40" i="98"/>
  <c r="CZ44" i="107"/>
  <c r="BT44" i="104"/>
  <c r="BT40" i="100"/>
  <c r="BD44" i="96"/>
  <c r="CZ44" i="106"/>
  <c r="AN44" i="93"/>
  <c r="BT44" i="102"/>
  <c r="CZ40" i="105"/>
  <c r="BD44" i="97"/>
  <c r="CZ40" i="107"/>
  <c r="BT44" i="101"/>
  <c r="BT40" i="104"/>
  <c r="BT40" i="102"/>
  <c r="CZ40" i="106"/>
  <c r="BD40" i="96"/>
  <c r="AV44" i="94"/>
  <c r="AV40" i="95"/>
  <c r="CZ44" i="105"/>
  <c r="AV44" i="95"/>
  <c r="BT44" i="98"/>
  <c r="BD40" i="97"/>
  <c r="J7" i="1"/>
  <c r="C24" i="83"/>
  <c r="C37" i="83" s="1"/>
  <c r="C39" i="83" s="1"/>
  <c r="C40" i="83" s="1"/>
  <c r="L17" i="1"/>
  <c r="E11" i="113" s="1"/>
  <c r="D39" i="104"/>
  <c r="E38" i="104"/>
  <c r="BO52" i="92"/>
  <c r="BQ52" i="92" s="1"/>
  <c r="BV52" i="92"/>
  <c r="BV39" i="92"/>
  <c r="BO39" i="92"/>
  <c r="BQ39" i="92" s="1"/>
  <c r="DB49" i="104"/>
  <c r="CU49" i="104"/>
  <c r="CW49" i="104" s="1"/>
  <c r="DB39" i="104"/>
  <c r="CU39" i="104"/>
  <c r="CW39" i="104" s="1"/>
  <c r="DB40" i="104"/>
  <c r="CU40" i="104"/>
  <c r="CW40" i="104" s="1"/>
  <c r="EA51" i="106"/>
  <c r="EC51" i="106" s="1"/>
  <c r="EH51" i="106"/>
  <c r="CE42" i="96"/>
  <c r="CG42" i="96" s="1"/>
  <c r="CL42" i="96"/>
  <c r="CU40" i="102"/>
  <c r="CW40" i="102" s="1"/>
  <c r="DB40" i="102"/>
  <c r="BO41" i="61"/>
  <c r="BQ41" i="61" s="1"/>
  <c r="BV41" i="61"/>
  <c r="EA53" i="106"/>
  <c r="EC53" i="106" s="1"/>
  <c r="EH53" i="106"/>
  <c r="BV44" i="89"/>
  <c r="BO44" i="89"/>
  <c r="BQ44" i="89" s="1"/>
  <c r="CD49" i="94"/>
  <c r="BW49" i="94"/>
  <c r="BY49" i="94" s="1"/>
  <c r="CU40" i="98"/>
  <c r="CW40" i="98" s="1"/>
  <c r="DB40" i="98"/>
  <c r="DB42" i="102"/>
  <c r="CU42" i="102"/>
  <c r="CW42" i="102" s="1"/>
  <c r="EA53" i="107"/>
  <c r="EC53" i="107" s="1"/>
  <c r="EH53" i="107"/>
  <c r="CU43" i="100"/>
  <c r="CW43" i="100" s="1"/>
  <c r="DB43" i="100"/>
  <c r="EH45" i="105"/>
  <c r="EA45" i="105"/>
  <c r="EC45" i="105" s="1"/>
  <c r="BO55" i="61"/>
  <c r="BQ55" i="61" s="1"/>
  <c r="BV55" i="61"/>
  <c r="BO49" i="93"/>
  <c r="BQ49" i="93" s="1"/>
  <c r="BV49" i="93"/>
  <c r="BW42" i="95"/>
  <c r="BY42" i="95" s="1"/>
  <c r="CD42" i="95"/>
  <c r="CU39" i="102"/>
  <c r="CW39" i="102" s="1"/>
  <c r="DB39" i="102"/>
  <c r="EH49" i="107"/>
  <c r="EA49" i="107"/>
  <c r="EC49" i="107" s="1"/>
  <c r="BW54" i="95"/>
  <c r="BY54" i="95" s="1"/>
  <c r="CD54" i="95"/>
  <c r="DB51" i="104"/>
  <c r="CU51" i="104"/>
  <c r="CW51" i="104" s="1"/>
  <c r="BV55" i="92"/>
  <c r="BO55" i="92"/>
  <c r="BQ55" i="92" s="1"/>
  <c r="CE55" i="96"/>
  <c r="CG55" i="96" s="1"/>
  <c r="CL55" i="96"/>
  <c r="CE41" i="97"/>
  <c r="CG41" i="97" s="1"/>
  <c r="CL41" i="97"/>
  <c r="BO39" i="89"/>
  <c r="BQ39" i="89" s="1"/>
  <c r="BV39" i="89"/>
  <c r="EA54" i="107"/>
  <c r="EC54" i="107" s="1"/>
  <c r="EH54" i="107"/>
  <c r="EA39" i="105"/>
  <c r="EC39" i="105" s="1"/>
  <c r="EH39" i="105"/>
  <c r="BW45" i="94"/>
  <c r="BY45" i="94" s="1"/>
  <c r="CD45" i="94"/>
  <c r="BO53" i="89"/>
  <c r="BQ53" i="89" s="1"/>
  <c r="BV53" i="89"/>
  <c r="EA45" i="107"/>
  <c r="EC45" i="107" s="1"/>
  <c r="EH45" i="107"/>
  <c r="BW53" i="94"/>
  <c r="BY53" i="94" s="1"/>
  <c r="CD53" i="94"/>
  <c r="BV51" i="61"/>
  <c r="BO51" i="61"/>
  <c r="BQ51" i="61" s="1"/>
  <c r="BO44" i="92"/>
  <c r="BQ44" i="92" s="1"/>
  <c r="BV44" i="92"/>
  <c r="EA55" i="107"/>
  <c r="EC55" i="107" s="1"/>
  <c r="EH55" i="107"/>
  <c r="BW53" i="95"/>
  <c r="BY53" i="95" s="1"/>
  <c r="CD53" i="95"/>
  <c r="I53" i="61"/>
  <c r="CD43" i="94"/>
  <c r="BW43" i="94"/>
  <c r="BY43" i="94" s="1"/>
  <c r="CL49" i="96"/>
  <c r="CE49" i="96"/>
  <c r="CG49" i="96" s="1"/>
  <c r="CU50" i="104"/>
  <c r="CW50" i="104" s="1"/>
  <c r="DB50" i="104"/>
  <c r="CL41" i="96"/>
  <c r="CE41" i="96"/>
  <c r="CG41" i="96" s="1"/>
  <c r="DB54" i="101"/>
  <c r="CU54" i="101"/>
  <c r="CW54" i="101" s="1"/>
  <c r="EA50" i="107"/>
  <c r="EC50" i="107" s="1"/>
  <c r="EH50" i="107"/>
  <c r="CU52" i="102"/>
  <c r="CW52" i="102" s="1"/>
  <c r="DB52" i="102"/>
  <c r="EA53" i="105"/>
  <c r="EC53" i="105" s="1"/>
  <c r="EH53" i="105"/>
  <c r="BR27" i="61"/>
  <c r="BT26" i="61"/>
  <c r="D39" i="106"/>
  <c r="E38" i="106"/>
  <c r="CU45" i="100"/>
  <c r="CW45" i="100" s="1"/>
  <c r="DB45" i="100"/>
  <c r="EA43" i="106"/>
  <c r="EC43" i="106" s="1"/>
  <c r="EH43" i="106"/>
  <c r="BW44" i="95"/>
  <c r="BY44" i="95" s="1"/>
  <c r="CD44" i="95"/>
  <c r="CL45" i="96"/>
  <c r="CE45" i="96"/>
  <c r="CG45" i="96" s="1"/>
  <c r="BV43" i="61"/>
  <c r="BO43" i="61"/>
  <c r="BQ43" i="61" s="1"/>
  <c r="D39" i="94"/>
  <c r="E38" i="94"/>
  <c r="CD39" i="94"/>
  <c r="BW39" i="94"/>
  <c r="BY39" i="94" s="1"/>
  <c r="EH40" i="105"/>
  <c r="EA40" i="105"/>
  <c r="EC40" i="105" s="1"/>
  <c r="DB53" i="104"/>
  <c r="CU53" i="104"/>
  <c r="CW53" i="104" s="1"/>
  <c r="CU44" i="102"/>
  <c r="CW44" i="102" s="1"/>
  <c r="DB44" i="102"/>
  <c r="CE45" i="97"/>
  <c r="CG45" i="97" s="1"/>
  <c r="CL45" i="97"/>
  <c r="DB51" i="101"/>
  <c r="CU51" i="101"/>
  <c r="CW51" i="101" s="1"/>
  <c r="BW54" i="94"/>
  <c r="BY54" i="94" s="1"/>
  <c r="CD54" i="94"/>
  <c r="BW51" i="94"/>
  <c r="BY51" i="94" s="1"/>
  <c r="CD51" i="94"/>
  <c r="CU39" i="100"/>
  <c r="CW39" i="100" s="1"/>
  <c r="DB39" i="100"/>
  <c r="BV40" i="89"/>
  <c r="BO40" i="89"/>
  <c r="BQ40" i="89" s="1"/>
  <c r="DB54" i="98"/>
  <c r="CU54" i="98"/>
  <c r="CW54" i="98" s="1"/>
  <c r="BV39" i="93"/>
  <c r="BO39" i="93"/>
  <c r="BQ39" i="93" s="1"/>
  <c r="BO54" i="93"/>
  <c r="BQ54" i="93" s="1"/>
  <c r="BV54" i="93"/>
  <c r="DB41" i="98"/>
  <c r="CU41" i="98"/>
  <c r="CW41" i="98" s="1"/>
  <c r="CL43" i="97"/>
  <c r="CE43" i="97"/>
  <c r="CG43" i="97" s="1"/>
  <c r="EA42" i="106"/>
  <c r="EC42" i="106" s="1"/>
  <c r="EH42" i="106"/>
  <c r="EA52" i="107"/>
  <c r="EC52" i="107" s="1"/>
  <c r="EH52" i="107"/>
  <c r="EA45" i="106"/>
  <c r="EC45" i="106" s="1"/>
  <c r="EH45" i="106"/>
  <c r="CU52" i="101"/>
  <c r="CW52" i="101" s="1"/>
  <c r="DB52" i="101"/>
  <c r="CD52" i="95"/>
  <c r="BW52" i="95"/>
  <c r="BY52" i="95" s="1"/>
  <c r="D39" i="89"/>
  <c r="E38" i="89"/>
  <c r="CU54" i="102"/>
  <c r="CW54" i="102" s="1"/>
  <c r="DB54" i="102"/>
  <c r="CE55" i="97"/>
  <c r="CG55" i="97" s="1"/>
  <c r="CL55" i="97"/>
  <c r="BO51" i="93"/>
  <c r="BQ51" i="93" s="1"/>
  <c r="BV51" i="93"/>
  <c r="BW52" i="94"/>
  <c r="BY52" i="94" s="1"/>
  <c r="CD52" i="94"/>
  <c r="DB49" i="102"/>
  <c r="CU49" i="102"/>
  <c r="CW49" i="102" s="1"/>
  <c r="D39" i="92"/>
  <c r="E38" i="92"/>
  <c r="DB52" i="104"/>
  <c r="CU52" i="104"/>
  <c r="CW52" i="104" s="1"/>
  <c r="BV41" i="92"/>
  <c r="BO41" i="92"/>
  <c r="BQ41" i="92" s="1"/>
  <c r="CU39" i="98"/>
  <c r="CW39" i="98" s="1"/>
  <c r="DB39" i="98"/>
  <c r="CU41" i="104"/>
  <c r="CW41" i="104" s="1"/>
  <c r="DB41" i="104"/>
  <c r="BV45" i="89"/>
  <c r="BO45" i="89"/>
  <c r="BQ45" i="89" s="1"/>
  <c r="BO54" i="61"/>
  <c r="BQ54" i="61" s="1"/>
  <c r="BV54" i="61"/>
  <c r="CL51" i="97"/>
  <c r="CE51" i="97"/>
  <c r="CG51" i="97" s="1"/>
  <c r="BO49" i="89"/>
  <c r="BQ49" i="89" s="1"/>
  <c r="BV49" i="89"/>
  <c r="AN10" i="20"/>
  <c r="EH44" i="107"/>
  <c r="EA44" i="107"/>
  <c r="EC44" i="107" s="1"/>
  <c r="EH49" i="105"/>
  <c r="EA49" i="105"/>
  <c r="EC49" i="105" s="1"/>
  <c r="BR26" i="93"/>
  <c r="BW55" i="94"/>
  <c r="BY55" i="94" s="1"/>
  <c r="CD55" i="94"/>
  <c r="BV43" i="89"/>
  <c r="BO43" i="89"/>
  <c r="BQ43" i="89" s="1"/>
  <c r="EH44" i="105"/>
  <c r="EA44" i="105"/>
  <c r="EC44" i="105" s="1"/>
  <c r="BV45" i="93"/>
  <c r="BO45" i="93"/>
  <c r="BQ45" i="93" s="1"/>
  <c r="CL50" i="97"/>
  <c r="CE50" i="97"/>
  <c r="CG50" i="97" s="1"/>
  <c r="DB55" i="98"/>
  <c r="CU55" i="98"/>
  <c r="CW55" i="98" s="1"/>
  <c r="DB51" i="100"/>
  <c r="CU51" i="100"/>
  <c r="CW51" i="100" s="1"/>
  <c r="CL39" i="96"/>
  <c r="CE39" i="96"/>
  <c r="CG39" i="96" s="1"/>
  <c r="CU39" i="101"/>
  <c r="CW39" i="101" s="1"/>
  <c r="DB39" i="101"/>
  <c r="CU44" i="101"/>
  <c r="CW44" i="101" s="1"/>
  <c r="DB44" i="101"/>
  <c r="BW40" i="95"/>
  <c r="BY40" i="95" s="1"/>
  <c r="CD40" i="95"/>
  <c r="D39" i="100"/>
  <c r="E38" i="100"/>
  <c r="CE40" i="97"/>
  <c r="CG40" i="97" s="1"/>
  <c r="CL40" i="97"/>
  <c r="CU53" i="102"/>
  <c r="CW53" i="102" s="1"/>
  <c r="DB53" i="102"/>
  <c r="D39" i="95"/>
  <c r="E38" i="95"/>
  <c r="L138" i="17"/>
  <c r="K120" i="17"/>
  <c r="DB49" i="101"/>
  <c r="CU49" i="101"/>
  <c r="CW49" i="101" s="1"/>
  <c r="DB55" i="100"/>
  <c r="CU55" i="100"/>
  <c r="CW55" i="100" s="1"/>
  <c r="DB50" i="98"/>
  <c r="CU50" i="98"/>
  <c r="CW50" i="98" s="1"/>
  <c r="BO54" i="92"/>
  <c r="BQ54" i="92" s="1"/>
  <c r="BV54" i="92"/>
  <c r="EH43" i="107"/>
  <c r="EA43" i="107"/>
  <c r="EC43" i="107" s="1"/>
  <c r="BV53" i="61"/>
  <c r="BO53" i="61"/>
  <c r="BQ53" i="61" s="1"/>
  <c r="CD43" i="95"/>
  <c r="BW43" i="95"/>
  <c r="BY43" i="95" s="1"/>
  <c r="EA52" i="105"/>
  <c r="EC52" i="105" s="1"/>
  <c r="EH52" i="105"/>
  <c r="EH50" i="105"/>
  <c r="EA50" i="105"/>
  <c r="EC50" i="105" s="1"/>
  <c r="CU43" i="104"/>
  <c r="CW43" i="104" s="1"/>
  <c r="DB43" i="104"/>
  <c r="BV40" i="61"/>
  <c r="BO40" i="61"/>
  <c r="BQ40" i="61" s="1"/>
  <c r="BW44" i="94"/>
  <c r="BY44" i="94" s="1"/>
  <c r="CD44" i="94"/>
  <c r="EH42" i="105"/>
  <c r="EA42" i="105"/>
  <c r="EC42" i="105" s="1"/>
  <c r="CH26" i="96"/>
  <c r="CE53" i="97"/>
  <c r="CG53" i="97" s="1"/>
  <c r="CL53" i="97"/>
  <c r="K10" i="61"/>
  <c r="M10" i="61" s="1"/>
  <c r="DB42" i="101"/>
  <c r="CU42" i="101"/>
  <c r="CW42" i="101" s="1"/>
  <c r="BV41" i="93"/>
  <c r="BO41" i="93"/>
  <c r="BQ41" i="93" s="1"/>
  <c r="D39" i="98"/>
  <c r="E38" i="98"/>
  <c r="BW41" i="94"/>
  <c r="BY41" i="94" s="1"/>
  <c r="CD41" i="94"/>
  <c r="DB49" i="100"/>
  <c r="CU49" i="100"/>
  <c r="CW49" i="100" s="1"/>
  <c r="E38" i="105"/>
  <c r="D39" i="105"/>
  <c r="BO50" i="89"/>
  <c r="BQ50" i="89" s="1"/>
  <c r="BV50" i="89"/>
  <c r="CU44" i="98"/>
  <c r="CW44" i="98" s="1"/>
  <c r="DB44" i="98"/>
  <c r="D39" i="61"/>
  <c r="E38" i="61"/>
  <c r="CU42" i="100"/>
  <c r="CW42" i="100" s="1"/>
  <c r="DB42" i="100"/>
  <c r="CU45" i="102"/>
  <c r="CW45" i="102" s="1"/>
  <c r="DB45" i="102"/>
  <c r="BO44" i="93"/>
  <c r="BQ44" i="93" s="1"/>
  <c r="BV44" i="93"/>
  <c r="CU51" i="98"/>
  <c r="CW51" i="98" s="1"/>
  <c r="DB51" i="98"/>
  <c r="CD45" i="95"/>
  <c r="BW45" i="95"/>
  <c r="BY45" i="95" s="1"/>
  <c r="BO52" i="61"/>
  <c r="BQ52" i="61" s="1"/>
  <c r="BV52" i="61"/>
  <c r="CU41" i="102"/>
  <c r="CW41" i="102" s="1"/>
  <c r="DB41" i="102"/>
  <c r="EA52" i="106"/>
  <c r="EC52" i="106" s="1"/>
  <c r="EH52" i="106"/>
  <c r="EH42" i="107"/>
  <c r="EA42" i="107"/>
  <c r="EC42" i="107" s="1"/>
  <c r="EA55" i="106"/>
  <c r="EC55" i="106" s="1"/>
  <c r="EH55" i="106"/>
  <c r="E38" i="93"/>
  <c r="D39" i="93"/>
  <c r="BV39" i="61"/>
  <c r="BO39" i="61"/>
  <c r="BQ39" i="61" s="1"/>
  <c r="BO41" i="89"/>
  <c r="BQ41" i="89" s="1"/>
  <c r="BV41" i="89"/>
  <c r="BO42" i="93"/>
  <c r="BQ42" i="93" s="1"/>
  <c r="BV42" i="93"/>
  <c r="BW42" i="94"/>
  <c r="BY42" i="94" s="1"/>
  <c r="CD42" i="94"/>
  <c r="DB42" i="104"/>
  <c r="CU42" i="104"/>
  <c r="CW42" i="104" s="1"/>
  <c r="BO51" i="92"/>
  <c r="BQ51" i="92" s="1"/>
  <c r="BV51" i="92"/>
  <c r="DB49" i="98"/>
  <c r="CU49" i="98"/>
  <c r="CW49" i="98" s="1"/>
  <c r="ED26" i="105"/>
  <c r="BV44" i="61"/>
  <c r="BO44" i="61"/>
  <c r="BQ44" i="61" s="1"/>
  <c r="DB42" i="98"/>
  <c r="CU42" i="98"/>
  <c r="CW42" i="98" s="1"/>
  <c r="CE40" i="96"/>
  <c r="CG40" i="96" s="1"/>
  <c r="CL40" i="96"/>
  <c r="DB53" i="101"/>
  <c r="CU53" i="101"/>
  <c r="CW53" i="101" s="1"/>
  <c r="D39" i="102"/>
  <c r="E38" i="102"/>
  <c r="BO52" i="89"/>
  <c r="BQ52" i="89" s="1"/>
  <c r="BV52" i="89"/>
  <c r="BO43" i="93"/>
  <c r="BQ43" i="93" s="1"/>
  <c r="BV43" i="93"/>
  <c r="BV42" i="92"/>
  <c r="BO42" i="92"/>
  <c r="BQ42" i="92" s="1"/>
  <c r="BO49" i="92"/>
  <c r="BQ49" i="92" s="1"/>
  <c r="BV49" i="92"/>
  <c r="CX27" i="102"/>
  <c r="EA54" i="105"/>
  <c r="EC54" i="105" s="1"/>
  <c r="EH54" i="105"/>
  <c r="BO55" i="93"/>
  <c r="BQ55" i="93" s="1"/>
  <c r="BV55" i="93"/>
  <c r="G72" i="17"/>
  <c r="I104" i="17"/>
  <c r="D130" i="17" s="1"/>
  <c r="D131" i="17" s="1"/>
  <c r="D23" i="17"/>
  <c r="D24" i="17" s="1"/>
  <c r="D26" i="17" s="1"/>
  <c r="D29" i="17" s="1"/>
  <c r="D30" i="17" s="1"/>
  <c r="D31" i="17" s="1"/>
  <c r="D33" i="17" s="1"/>
  <c r="F35" i="17" s="1"/>
  <c r="F37" i="17" s="1"/>
  <c r="F39" i="17" s="1"/>
  <c r="F41" i="17" s="1"/>
  <c r="H42" i="17" s="1"/>
  <c r="BT31" i="113" l="1"/>
  <c r="BR32" i="113"/>
  <c r="EF22" i="112"/>
  <c r="EF24" i="112" s="1"/>
  <c r="EK31" i="112"/>
  <c r="EF32" i="112"/>
  <c r="ED33" i="112"/>
  <c r="ED27" i="106"/>
  <c r="BR27" i="92"/>
  <c r="BR28" i="92" s="1"/>
  <c r="CX27" i="100"/>
  <c r="CZ27" i="100" s="1"/>
  <c r="CB26" i="94"/>
  <c r="E21" i="61"/>
  <c r="G25" i="61" s="1"/>
  <c r="E21" i="113"/>
  <c r="CJ27" i="97"/>
  <c r="CH28" i="97"/>
  <c r="E5" i="113"/>
  <c r="G5" i="113" s="1"/>
  <c r="EF26" i="107"/>
  <c r="ED27" i="107"/>
  <c r="D40" i="112"/>
  <c r="E39" i="112"/>
  <c r="CX28" i="100"/>
  <c r="BT26" i="89"/>
  <c r="BR27" i="89"/>
  <c r="CZ26" i="101"/>
  <c r="CX27" i="101"/>
  <c r="D40" i="113"/>
  <c r="E39" i="113"/>
  <c r="S10" i="113"/>
  <c r="U10" i="113" s="1"/>
  <c r="CZ27" i="102"/>
  <c r="CX28" i="102"/>
  <c r="D40" i="93"/>
  <c r="E39" i="93"/>
  <c r="D40" i="107"/>
  <c r="E39" i="107"/>
  <c r="CJ26" i="96"/>
  <c r="CH27" i="96"/>
  <c r="EF26" i="105"/>
  <c r="ED27" i="105"/>
  <c r="L140" i="17"/>
  <c r="M141" i="17" s="1"/>
  <c r="L144" i="17"/>
  <c r="D40" i="94"/>
  <c r="E39" i="94"/>
  <c r="E39" i="106"/>
  <c r="D40" i="106"/>
  <c r="Z116" i="17"/>
  <c r="X121" i="17" s="1"/>
  <c r="Z121" i="17" s="1"/>
  <c r="X122" i="17" s="1"/>
  <c r="Z122" i="17" s="1"/>
  <c r="X123" i="17" s="1"/>
  <c r="Z123" i="17" s="1"/>
  <c r="X124" i="17" s="1"/>
  <c r="Z124" i="17" s="1"/>
  <c r="X125" i="17" s="1"/>
  <c r="Z125" i="17" s="1"/>
  <c r="X126" i="17" s="1"/>
  <c r="Z126" i="17" s="1"/>
  <c r="X127" i="17" s="1"/>
  <c r="Z127" i="17" s="1"/>
  <c r="X128" i="17" s="1"/>
  <c r="Z128" i="17" s="1"/>
  <c r="X129" i="17" s="1"/>
  <c r="Z129" i="17" s="1"/>
  <c r="X130" i="17" s="1"/>
  <c r="Z130" i="17" s="1"/>
  <c r="X131" i="17" s="1"/>
  <c r="Z131" i="17" s="1"/>
  <c r="X132" i="17" s="1"/>
  <c r="Z132" i="17" s="1"/>
  <c r="X133" i="17" s="1"/>
  <c r="Z133" i="17" s="1"/>
  <c r="X134" i="17" s="1"/>
  <c r="Z134" i="17" s="1"/>
  <c r="X135" i="17" s="1"/>
  <c r="Z135" i="17" s="1"/>
  <c r="AB116" i="17"/>
  <c r="CB27" i="94"/>
  <c r="BZ28" i="94"/>
  <c r="D40" i="105"/>
  <c r="E39" i="105"/>
  <c r="O10" i="61"/>
  <c r="Q10" i="61" s="1"/>
  <c r="E39" i="104"/>
  <c r="D40" i="104"/>
  <c r="D40" i="101"/>
  <c r="E39" i="101"/>
  <c r="D40" i="96"/>
  <c r="E39" i="96"/>
  <c r="BT27" i="61"/>
  <c r="BR28" i="61"/>
  <c r="BT26" i="93"/>
  <c r="BR27" i="93"/>
  <c r="D40" i="61"/>
  <c r="E39" i="61"/>
  <c r="D40" i="98"/>
  <c r="E39" i="98"/>
  <c r="D40" i="100"/>
  <c r="E39" i="100"/>
  <c r="E11" i="61"/>
  <c r="D5" i="84"/>
  <c r="N17" i="1"/>
  <c r="K26" i="34" s="1"/>
  <c r="D40" i="97"/>
  <c r="E39" i="97"/>
  <c r="CZ27" i="98"/>
  <c r="CX28" i="98"/>
  <c r="H20" i="1"/>
  <c r="J20" i="1" s="1"/>
  <c r="L20" i="1" s="1"/>
  <c r="N20" i="1" s="1"/>
  <c r="D40" i="102"/>
  <c r="E39" i="102"/>
  <c r="CZ27" i="104"/>
  <c r="CX28" i="104"/>
  <c r="CB26" i="95"/>
  <c r="BZ27" i="95"/>
  <c r="D40" i="92"/>
  <c r="E39" i="92"/>
  <c r="D40" i="89"/>
  <c r="E39" i="89"/>
  <c r="D40" i="95"/>
  <c r="E39" i="95"/>
  <c r="K53" i="61"/>
  <c r="I106" i="17"/>
  <c r="D106" i="17" s="1"/>
  <c r="D133" i="17"/>
  <c r="D136" i="17" s="1"/>
  <c r="D137" i="17" s="1"/>
  <c r="D138" i="17" s="1"/>
  <c r="D140" i="17" s="1"/>
  <c r="D16" i="20"/>
  <c r="D21" i="61" l="1"/>
  <c r="D17" i="61" s="1"/>
  <c r="BT32" i="113"/>
  <c r="BR33" i="113"/>
  <c r="G23" i="61"/>
  <c r="E63" i="61"/>
  <c r="G69" i="61" s="1"/>
  <c r="I69" i="61" s="1"/>
  <c r="K69" i="61" s="1"/>
  <c r="BY31" i="113"/>
  <c r="BT22" i="113"/>
  <c r="BT24" i="113" s="1"/>
  <c r="G21" i="61"/>
  <c r="I21" i="61" s="1"/>
  <c r="K21" i="61" s="1"/>
  <c r="M21" i="61" s="1"/>
  <c r="O21" i="61" s="1"/>
  <c r="Q21" i="61" s="1"/>
  <c r="S21" i="61" s="1"/>
  <c r="U21" i="61" s="1"/>
  <c r="W21" i="61" s="1"/>
  <c r="Y21" i="61" s="1"/>
  <c r="AA21" i="61" s="1"/>
  <c r="AC21" i="61" s="1"/>
  <c r="AE21" i="61" s="1"/>
  <c r="AG21" i="61" s="1"/>
  <c r="AI21" i="61" s="1"/>
  <c r="AK21" i="61" s="1"/>
  <c r="AM21" i="61" s="1"/>
  <c r="AQ21" i="61" s="1"/>
  <c r="EF33" i="112"/>
  <c r="ED34" i="112"/>
  <c r="BT27" i="92"/>
  <c r="G27" i="61"/>
  <c r="I27" i="61" s="1"/>
  <c r="K27" i="61" s="1"/>
  <c r="M27" i="61" s="1"/>
  <c r="O27" i="61" s="1"/>
  <c r="Q27" i="61" s="1"/>
  <c r="S27" i="61" s="1"/>
  <c r="U27" i="61" s="1"/>
  <c r="W27" i="61" s="1"/>
  <c r="Y27" i="61" s="1"/>
  <c r="AA27" i="61" s="1"/>
  <c r="AC27" i="61" s="1"/>
  <c r="AE27" i="61" s="1"/>
  <c r="AG27" i="61" s="1"/>
  <c r="AI27" i="61" s="1"/>
  <c r="AK27" i="61" s="1"/>
  <c r="AM27" i="61" s="1"/>
  <c r="AQ27" i="61" s="1"/>
  <c r="EF27" i="106"/>
  <c r="ED28" i="106"/>
  <c r="AN35" i="113"/>
  <c r="BT27" i="89"/>
  <c r="BR28" i="89"/>
  <c r="AN47" i="113"/>
  <c r="AQ35" i="113"/>
  <c r="W10" i="113"/>
  <c r="Y10" i="113" s="1"/>
  <c r="I5" i="113"/>
  <c r="K5" i="113" s="1"/>
  <c r="M5" i="113" s="1"/>
  <c r="O5" i="113" s="1"/>
  <c r="Q5" i="113" s="1"/>
  <c r="S5" i="113" s="1"/>
  <c r="U5" i="113" s="1"/>
  <c r="W5" i="113" s="1"/>
  <c r="Y5" i="113" s="1"/>
  <c r="AA5" i="113" s="1"/>
  <c r="AC5" i="113" s="1"/>
  <c r="AE5" i="113" s="1"/>
  <c r="AG5" i="113" s="1"/>
  <c r="AI5" i="113" s="1"/>
  <c r="AK5" i="113" s="1"/>
  <c r="AM5" i="113" s="1"/>
  <c r="AQ5" i="113" s="1"/>
  <c r="AT28" i="113" s="1"/>
  <c r="CZ28" i="100"/>
  <c r="CX29" i="100"/>
  <c r="CJ28" i="97"/>
  <c r="CH29" i="97"/>
  <c r="D41" i="113"/>
  <c r="E40" i="113"/>
  <c r="D41" i="112"/>
  <c r="E40" i="112"/>
  <c r="G27" i="113"/>
  <c r="E63" i="113"/>
  <c r="G25" i="113"/>
  <c r="G21" i="113"/>
  <c r="G23" i="113"/>
  <c r="D21" i="113"/>
  <c r="D17" i="113" s="1"/>
  <c r="CZ27" i="101"/>
  <c r="CX28" i="101"/>
  <c r="EF27" i="107"/>
  <c r="ED28" i="107"/>
  <c r="H21" i="1"/>
  <c r="J21" i="1" s="1"/>
  <c r="L21" i="1" s="1"/>
  <c r="N21" i="1" s="1"/>
  <c r="BT28" i="61"/>
  <c r="BR29" i="61"/>
  <c r="D41" i="97"/>
  <c r="E40" i="97"/>
  <c r="D10" i="84"/>
  <c r="D11" i="84" s="1"/>
  <c r="D12" i="84" s="1"/>
  <c r="H5" i="84"/>
  <c r="J6" i="84" s="1"/>
  <c r="D41" i="61"/>
  <c r="E40" i="61"/>
  <c r="CB28" i="94"/>
  <c r="BZ29" i="94"/>
  <c r="D41" i="106"/>
  <c r="E40" i="106"/>
  <c r="CZ28" i="98"/>
  <c r="CX29" i="98"/>
  <c r="D41" i="105"/>
  <c r="E40" i="105"/>
  <c r="I25" i="61"/>
  <c r="K25" i="61" s="1"/>
  <c r="M25" i="61" s="1"/>
  <c r="O25" i="61" s="1"/>
  <c r="Q25" i="61" s="1"/>
  <c r="S25" i="61" s="1"/>
  <c r="U25" i="61" s="1"/>
  <c r="W25" i="61" s="1"/>
  <c r="Y25" i="61" s="1"/>
  <c r="AA25" i="61" s="1"/>
  <c r="AC25" i="61" s="1"/>
  <c r="AE25" i="61" s="1"/>
  <c r="AG25" i="61" s="1"/>
  <c r="AI25" i="61" s="1"/>
  <c r="AK25" i="61" s="1"/>
  <c r="AM25" i="61" s="1"/>
  <c r="AQ25" i="61" s="1"/>
  <c r="CZ28" i="102"/>
  <c r="CX29" i="102"/>
  <c r="D41" i="95"/>
  <c r="E40" i="95"/>
  <c r="I23" i="61"/>
  <c r="K23" i="61" s="1"/>
  <c r="M23" i="61" s="1"/>
  <c r="O23" i="61" s="1"/>
  <c r="Q23" i="61" s="1"/>
  <c r="S23" i="61" s="1"/>
  <c r="U23" i="61" s="1"/>
  <c r="W23" i="61" s="1"/>
  <c r="Y23" i="61" s="1"/>
  <c r="AA23" i="61" s="1"/>
  <c r="AC23" i="61" s="1"/>
  <c r="AE23" i="61" s="1"/>
  <c r="AG23" i="61" s="1"/>
  <c r="AI23" i="61" s="1"/>
  <c r="AK23" i="61" s="1"/>
  <c r="AM23" i="61" s="1"/>
  <c r="AQ23" i="61" s="1"/>
  <c r="CZ28" i="104"/>
  <c r="CX29" i="104"/>
  <c r="X137" i="17"/>
  <c r="X139" i="17" s="1"/>
  <c r="D41" i="107"/>
  <c r="E40" i="107"/>
  <c r="E17" i="61"/>
  <c r="G17" i="61" s="1"/>
  <c r="D23" i="61"/>
  <c r="D41" i="96"/>
  <c r="E40" i="96"/>
  <c r="BT28" i="92"/>
  <c r="BR29" i="92"/>
  <c r="D41" i="98"/>
  <c r="E40" i="98"/>
  <c r="G67" i="61"/>
  <c r="I67" i="61" s="1"/>
  <c r="K67" i="61" s="1"/>
  <c r="G63" i="61"/>
  <c r="I63" i="61" s="1"/>
  <c r="K63" i="61" s="1"/>
  <c r="D41" i="102"/>
  <c r="E40" i="102"/>
  <c r="D41" i="104"/>
  <c r="E40" i="104"/>
  <c r="AB121" i="17"/>
  <c r="AB122" i="17" s="1"/>
  <c r="AB123" i="17" s="1"/>
  <c r="AB124" i="17" s="1"/>
  <c r="AB125" i="17" s="1"/>
  <c r="AB126" i="17" s="1"/>
  <c r="AB127" i="17" s="1"/>
  <c r="AB128" i="17" s="1"/>
  <c r="AB129" i="17" s="1"/>
  <c r="AB130" i="17" s="1"/>
  <c r="AB131" i="17" s="1"/>
  <c r="AB132" i="17" s="1"/>
  <c r="AB133" i="17" s="1"/>
  <c r="AB134" i="17" s="1"/>
  <c r="AB135" i="17" s="1"/>
  <c r="EF27" i="105"/>
  <c r="ED28" i="105"/>
  <c r="D41" i="101"/>
  <c r="E40" i="101"/>
  <c r="D41" i="93"/>
  <c r="E40" i="93"/>
  <c r="D41" i="92"/>
  <c r="E40" i="92"/>
  <c r="CJ27" i="96"/>
  <c r="CH28" i="96"/>
  <c r="D41" i="89"/>
  <c r="E40" i="89"/>
  <c r="CB27" i="95"/>
  <c r="BZ28" i="95"/>
  <c r="D41" i="100"/>
  <c r="E40" i="100"/>
  <c r="BR28" i="93"/>
  <c r="BT27" i="93"/>
  <c r="S10" i="61"/>
  <c r="U10" i="61" s="1"/>
  <c r="D41" i="94"/>
  <c r="E40" i="94"/>
  <c r="F18" i="20"/>
  <c r="F16" i="20"/>
  <c r="F20" i="20"/>
  <c r="F22" i="20"/>
  <c r="H22" i="20" s="1"/>
  <c r="G65" i="61" l="1"/>
  <c r="I65" i="61" s="1"/>
  <c r="K65" i="61" s="1"/>
  <c r="BT33" i="113"/>
  <c r="BR34" i="113"/>
  <c r="D63" i="61"/>
  <c r="D60" i="61" s="1"/>
  <c r="EF34" i="112"/>
  <c r="ED35" i="112"/>
  <c r="EF28" i="106"/>
  <c r="ED29" i="106"/>
  <c r="AN23" i="61"/>
  <c r="AN27" i="61"/>
  <c r="E17" i="113"/>
  <c r="G17" i="113" s="1"/>
  <c r="D23" i="113"/>
  <c r="I23" i="113"/>
  <c r="K23" i="113" s="1"/>
  <c r="M23" i="113" s="1"/>
  <c r="O23" i="113" s="1"/>
  <c r="Q23" i="113" s="1"/>
  <c r="S23" i="113" s="1"/>
  <c r="U23" i="113" s="1"/>
  <c r="W23" i="113" s="1"/>
  <c r="Y23" i="113" s="1"/>
  <c r="AA23" i="113" s="1"/>
  <c r="AC23" i="113" s="1"/>
  <c r="AE23" i="113" s="1"/>
  <c r="AG23" i="113" s="1"/>
  <c r="AI23" i="113" s="1"/>
  <c r="AK23" i="113" s="1"/>
  <c r="AM23" i="113" s="1"/>
  <c r="AQ23" i="113" s="1"/>
  <c r="I21" i="113"/>
  <c r="K21" i="113" s="1"/>
  <c r="M21" i="113" s="1"/>
  <c r="O21" i="113" s="1"/>
  <c r="Q21" i="113" s="1"/>
  <c r="S21" i="113" s="1"/>
  <c r="U21" i="113" s="1"/>
  <c r="W21" i="113" s="1"/>
  <c r="Y21" i="113" s="1"/>
  <c r="AA21" i="113" s="1"/>
  <c r="AC21" i="113" s="1"/>
  <c r="AE21" i="113" s="1"/>
  <c r="AG21" i="113" s="1"/>
  <c r="AI21" i="113" s="1"/>
  <c r="AK21" i="113" s="1"/>
  <c r="AM21" i="113" s="1"/>
  <c r="AQ21" i="113" s="1"/>
  <c r="CJ29" i="97"/>
  <c r="CH30" i="97"/>
  <c r="I25" i="113"/>
  <c r="K25" i="113" s="1"/>
  <c r="M25" i="113" s="1"/>
  <c r="O25" i="113" s="1"/>
  <c r="Q25" i="113" s="1"/>
  <c r="S25" i="113" s="1"/>
  <c r="U25" i="113" s="1"/>
  <c r="W25" i="113" s="1"/>
  <c r="Y25" i="113" s="1"/>
  <c r="AA25" i="113" s="1"/>
  <c r="AC25" i="113" s="1"/>
  <c r="AE25" i="113" s="1"/>
  <c r="AG25" i="113" s="1"/>
  <c r="AI25" i="113" s="1"/>
  <c r="AK25" i="113" s="1"/>
  <c r="AM25" i="113" s="1"/>
  <c r="AQ25" i="113" s="1"/>
  <c r="AA10" i="113"/>
  <c r="AC10" i="113" s="1"/>
  <c r="CZ29" i="100"/>
  <c r="CX30" i="100"/>
  <c r="CZ28" i="101"/>
  <c r="CX29" i="101"/>
  <c r="AN5" i="113"/>
  <c r="BT28" i="89"/>
  <c r="BR29" i="89"/>
  <c r="D42" i="113"/>
  <c r="E41" i="113"/>
  <c r="EF28" i="107"/>
  <c r="ED29" i="107"/>
  <c r="G67" i="113"/>
  <c r="I67" i="113" s="1"/>
  <c r="K67" i="113" s="1"/>
  <c r="G63" i="113"/>
  <c r="I63" i="113" s="1"/>
  <c r="K63" i="113" s="1"/>
  <c r="G65" i="113"/>
  <c r="I65" i="113" s="1"/>
  <c r="K65" i="113" s="1"/>
  <c r="G69" i="113"/>
  <c r="I69" i="113" s="1"/>
  <c r="K69" i="113" s="1"/>
  <c r="D63" i="113"/>
  <c r="D60" i="113" s="1"/>
  <c r="I27" i="113"/>
  <c r="K27" i="113" s="1"/>
  <c r="M27" i="113" s="1"/>
  <c r="O27" i="113" s="1"/>
  <c r="Q27" i="113" s="1"/>
  <c r="S27" i="113" s="1"/>
  <c r="U27" i="113" s="1"/>
  <c r="W27" i="113" s="1"/>
  <c r="Y27" i="113" s="1"/>
  <c r="AA27" i="113" s="1"/>
  <c r="AC27" i="113" s="1"/>
  <c r="AE27" i="113" s="1"/>
  <c r="AG27" i="113" s="1"/>
  <c r="AI27" i="113" s="1"/>
  <c r="AK27" i="113" s="1"/>
  <c r="AM27" i="113" s="1"/>
  <c r="AQ27" i="113" s="1"/>
  <c r="AP32" i="113"/>
  <c r="AN21" i="61"/>
  <c r="AB137" i="17"/>
  <c r="X140" i="17" s="1"/>
  <c r="X141" i="17" s="1"/>
  <c r="X142" i="17" s="1"/>
  <c r="AN25" i="61"/>
  <c r="D42" i="112"/>
  <c r="E41" i="112"/>
  <c r="K4" i="113"/>
  <c r="O4" i="113" s="1"/>
  <c r="O6" i="113" s="1"/>
  <c r="D42" i="92"/>
  <c r="E41" i="92"/>
  <c r="EF28" i="105"/>
  <c r="ED29" i="105"/>
  <c r="D42" i="106"/>
  <c r="E41" i="106"/>
  <c r="CJ28" i="96"/>
  <c r="CH29" i="96"/>
  <c r="D42" i="93"/>
  <c r="E41" i="93"/>
  <c r="CB28" i="95"/>
  <c r="BZ29" i="95"/>
  <c r="D42" i="96"/>
  <c r="E41" i="96"/>
  <c r="CB29" i="94"/>
  <c r="BZ30" i="94"/>
  <c r="BT29" i="61"/>
  <c r="BR30" i="61"/>
  <c r="H18" i="84"/>
  <c r="D13" i="84"/>
  <c r="CZ29" i="104"/>
  <c r="CX30" i="104"/>
  <c r="W10" i="61"/>
  <c r="Y10" i="61" s="1"/>
  <c r="BT28" i="93"/>
  <c r="BR29" i="93"/>
  <c r="D42" i="101"/>
  <c r="E41" i="101"/>
  <c r="D42" i="104"/>
  <c r="E41" i="104"/>
  <c r="D42" i="105"/>
  <c r="E41" i="105"/>
  <c r="D42" i="89"/>
  <c r="E41" i="89"/>
  <c r="E60" i="61"/>
  <c r="G60" i="61" s="1"/>
  <c r="D66" i="61"/>
  <c r="D42" i="107"/>
  <c r="E41" i="107"/>
  <c r="CZ29" i="102"/>
  <c r="CX30" i="102"/>
  <c r="D42" i="94"/>
  <c r="E41" i="94"/>
  <c r="D42" i="97"/>
  <c r="E41" i="97"/>
  <c r="D42" i="98"/>
  <c r="E41" i="98"/>
  <c r="I17" i="61"/>
  <c r="G30" i="61"/>
  <c r="CZ29" i="98"/>
  <c r="CX30" i="98"/>
  <c r="D42" i="100"/>
  <c r="E41" i="100"/>
  <c r="D42" i="102"/>
  <c r="E41" i="102"/>
  <c r="BT29" i="92"/>
  <c r="BR30" i="92"/>
  <c r="D42" i="95"/>
  <c r="E41" i="95"/>
  <c r="D42" i="61"/>
  <c r="E41" i="61"/>
  <c r="H22" i="1"/>
  <c r="J22" i="1" s="1"/>
  <c r="L22" i="1" s="1"/>
  <c r="N22" i="1" s="1"/>
  <c r="H18" i="20"/>
  <c r="J18" i="20" s="1"/>
  <c r="L18" i="20" s="1"/>
  <c r="N18" i="20" s="1"/>
  <c r="P18" i="20" s="1"/>
  <c r="R18" i="20" s="1"/>
  <c r="T18" i="20" s="1"/>
  <c r="V18" i="20" s="1"/>
  <c r="X18" i="20" s="1"/>
  <c r="Z18" i="20" s="1"/>
  <c r="AB18" i="20" s="1"/>
  <c r="AD18" i="20" s="1"/>
  <c r="AF18" i="20" s="1"/>
  <c r="AH18" i="20" s="1"/>
  <c r="AJ18" i="20" s="1"/>
  <c r="AL18" i="20" s="1"/>
  <c r="H16" i="20"/>
  <c r="J16" i="20" s="1"/>
  <c r="L16" i="20" s="1"/>
  <c r="N16" i="20" s="1"/>
  <c r="P16" i="20" s="1"/>
  <c r="R16" i="20" s="1"/>
  <c r="T16" i="20" s="1"/>
  <c r="V16" i="20" s="1"/>
  <c r="X16" i="20" s="1"/>
  <c r="Z16" i="20" s="1"/>
  <c r="AB16" i="20" s="1"/>
  <c r="AD16" i="20" s="1"/>
  <c r="AF16" i="20" s="1"/>
  <c r="AH16" i="20" s="1"/>
  <c r="AJ16" i="20" s="1"/>
  <c r="AL16" i="20" s="1"/>
  <c r="H20" i="20"/>
  <c r="J20" i="20" s="1"/>
  <c r="L20" i="20" s="1"/>
  <c r="N20" i="20" s="1"/>
  <c r="P20" i="20" s="1"/>
  <c r="R20" i="20" s="1"/>
  <c r="T20" i="20" s="1"/>
  <c r="V20" i="20" s="1"/>
  <c r="X20" i="20" s="1"/>
  <c r="Z20" i="20" s="1"/>
  <c r="AB20" i="20" s="1"/>
  <c r="AD20" i="20" s="1"/>
  <c r="AF20" i="20" s="1"/>
  <c r="AH20" i="20" s="1"/>
  <c r="AJ20" i="20" s="1"/>
  <c r="AL20" i="20" s="1"/>
  <c r="BT34" i="113" l="1"/>
  <c r="BR35" i="113"/>
  <c r="EF29" i="106"/>
  <c r="ED30" i="106"/>
  <c r="EF35" i="112"/>
  <c r="ED36" i="112"/>
  <c r="AN23" i="113"/>
  <c r="AN25" i="113"/>
  <c r="AN27" i="113"/>
  <c r="AN21" i="113"/>
  <c r="EF29" i="107"/>
  <c r="ED30" i="107"/>
  <c r="CZ30" i="100"/>
  <c r="CX31" i="100"/>
  <c r="BT29" i="89"/>
  <c r="BR30" i="89"/>
  <c r="AE10" i="113"/>
  <c r="AG10" i="113" s="1"/>
  <c r="CJ30" i="97"/>
  <c r="CH31" i="97"/>
  <c r="D43" i="112"/>
  <c r="E43" i="112" s="1"/>
  <c r="E42" i="112"/>
  <c r="E60" i="113"/>
  <c r="G60" i="113" s="1"/>
  <c r="D66" i="113"/>
  <c r="D43" i="113"/>
  <c r="E43" i="113" s="1"/>
  <c r="E42" i="113"/>
  <c r="CZ29" i="101"/>
  <c r="CX30" i="101"/>
  <c r="G30" i="113"/>
  <c r="I17" i="113"/>
  <c r="CZ30" i="102"/>
  <c r="CX31" i="102"/>
  <c r="D43" i="100"/>
  <c r="E43" i="100" s="1"/>
  <c r="E42" i="100"/>
  <c r="D43" i="89"/>
  <c r="E43" i="89" s="1"/>
  <c r="E42" i="89"/>
  <c r="D43" i="93"/>
  <c r="E43" i="93" s="1"/>
  <c r="E42" i="93"/>
  <c r="CZ30" i="98"/>
  <c r="CX31" i="98"/>
  <c r="CJ29" i="96"/>
  <c r="CH30" i="96"/>
  <c r="EF29" i="105"/>
  <c r="ED30" i="105"/>
  <c r="D43" i="95"/>
  <c r="E43" i="95" s="1"/>
  <c r="E42" i="95"/>
  <c r="D43" i="97"/>
  <c r="E43" i="97" s="1"/>
  <c r="E42" i="97"/>
  <c r="D43" i="107"/>
  <c r="E43" i="107" s="1"/>
  <c r="E42" i="107"/>
  <c r="D43" i="105"/>
  <c r="E43" i="105" s="1"/>
  <c r="E42" i="105"/>
  <c r="AA10" i="61"/>
  <c r="AC10" i="61" s="1"/>
  <c r="D43" i="96"/>
  <c r="E43" i="96" s="1"/>
  <c r="E42" i="96"/>
  <c r="D43" i="61"/>
  <c r="E43" i="61" s="1"/>
  <c r="E42" i="61"/>
  <c r="BT30" i="92"/>
  <c r="BR31" i="92"/>
  <c r="CZ30" i="104"/>
  <c r="CX31" i="104"/>
  <c r="CB29" i="95"/>
  <c r="BZ30" i="95"/>
  <c r="K17" i="61"/>
  <c r="M17" i="61" s="1"/>
  <c r="I30" i="61"/>
  <c r="I60" i="61"/>
  <c r="G72" i="61"/>
  <c r="D43" i="104"/>
  <c r="E43" i="104" s="1"/>
  <c r="E42" i="104"/>
  <c r="D43" i="106"/>
  <c r="E43" i="106" s="1"/>
  <c r="E42" i="106"/>
  <c r="BT29" i="93"/>
  <c r="BR30" i="93"/>
  <c r="CB30" i="94"/>
  <c r="BZ31" i="94"/>
  <c r="D14" i="84"/>
  <c r="H10" i="84"/>
  <c r="BT30" i="61"/>
  <c r="BR31" i="61"/>
  <c r="H24" i="1"/>
  <c r="J24" i="1" s="1"/>
  <c r="L24" i="1" s="1"/>
  <c r="N24" i="1" s="1"/>
  <c r="H23" i="1"/>
  <c r="J23" i="1" s="1"/>
  <c r="L23" i="1" s="1"/>
  <c r="N23" i="1" s="1"/>
  <c r="D43" i="102"/>
  <c r="E43" i="102" s="1"/>
  <c r="E42" i="102"/>
  <c r="D43" i="98"/>
  <c r="E43" i="98" s="1"/>
  <c r="E42" i="98"/>
  <c r="D43" i="94"/>
  <c r="E43" i="94" s="1"/>
  <c r="E42" i="94"/>
  <c r="D43" i="101"/>
  <c r="E43" i="101" s="1"/>
  <c r="E42" i="101"/>
  <c r="D43" i="92"/>
  <c r="E43" i="92" s="1"/>
  <c r="E42" i="92"/>
  <c r="AN18" i="20"/>
  <c r="AN20" i="20"/>
  <c r="AN16" i="20"/>
  <c r="BR36" i="113" l="1"/>
  <c r="BT35" i="113"/>
  <c r="EF30" i="106"/>
  <c r="ED31" i="106"/>
  <c r="EF36" i="112"/>
  <c r="ED37" i="112"/>
  <c r="I60" i="113"/>
  <c r="G72" i="113"/>
  <c r="BT30" i="89"/>
  <c r="BR31" i="89"/>
  <c r="CZ30" i="101"/>
  <c r="CX31" i="101"/>
  <c r="CH32" i="97"/>
  <c r="CJ31" i="97"/>
  <c r="CZ31" i="100"/>
  <c r="CX32" i="100"/>
  <c r="EF30" i="107"/>
  <c r="ED31" i="107"/>
  <c r="AI10" i="113"/>
  <c r="AK10" i="113" s="1"/>
  <c r="K17" i="113"/>
  <c r="M17" i="113" s="1"/>
  <c r="I30" i="113"/>
  <c r="K60" i="61"/>
  <c r="K72" i="61" s="1"/>
  <c r="I72" i="61"/>
  <c r="CB31" i="94"/>
  <c r="BZ32" i="94"/>
  <c r="CJ30" i="96"/>
  <c r="CH31" i="96"/>
  <c r="BT31" i="92"/>
  <c r="BR32" i="92"/>
  <c r="EF30" i="105"/>
  <c r="ED31" i="105"/>
  <c r="CB30" i="95"/>
  <c r="BZ31" i="95"/>
  <c r="BT31" i="61"/>
  <c r="BR32" i="61"/>
  <c r="BT30" i="93"/>
  <c r="BR31" i="93"/>
  <c r="CZ31" i="104"/>
  <c r="CX32" i="104"/>
  <c r="CZ31" i="98"/>
  <c r="CX32" i="98"/>
  <c r="CZ31" i="102"/>
  <c r="CX32" i="102"/>
  <c r="H11" i="84"/>
  <c r="D15" i="84"/>
  <c r="O17" i="61"/>
  <c r="Q17" i="61" s="1"/>
  <c r="M30" i="61"/>
  <c r="AE10" i="61"/>
  <c r="AG10" i="61" s="1"/>
  <c r="BT36" i="113" l="1"/>
  <c r="BR37" i="113"/>
  <c r="EF37" i="112"/>
  <c r="ED38" i="112"/>
  <c r="EF31" i="106"/>
  <c r="ED32" i="106"/>
  <c r="CJ22" i="97"/>
  <c r="CJ24" i="97" s="1"/>
  <c r="CO31" i="97"/>
  <c r="EF31" i="107"/>
  <c r="ED32" i="107"/>
  <c r="BT31" i="89"/>
  <c r="BR32" i="89"/>
  <c r="CJ32" i="97"/>
  <c r="CH33" i="97"/>
  <c r="CX32" i="101"/>
  <c r="CZ31" i="101"/>
  <c r="AM10" i="113"/>
  <c r="AQ10" i="113" s="1"/>
  <c r="CX33" i="100"/>
  <c r="CZ32" i="100"/>
  <c r="O17" i="113"/>
  <c r="Q17" i="113" s="1"/>
  <c r="M30" i="113"/>
  <c r="AN10" i="113"/>
  <c r="DE31" i="100"/>
  <c r="CZ22" i="100"/>
  <c r="CZ24" i="100" s="1"/>
  <c r="K60" i="113"/>
  <c r="K72" i="113" s="1"/>
  <c r="I72" i="113"/>
  <c r="BT31" i="93"/>
  <c r="BR32" i="93"/>
  <c r="D16" i="84"/>
  <c r="D17" i="84" s="1"/>
  <c r="H12" i="84"/>
  <c r="H23" i="84"/>
  <c r="CZ32" i="102"/>
  <c r="CX33" i="102"/>
  <c r="BT22" i="92"/>
  <c r="BT24" i="92" s="1"/>
  <c r="BY31" i="92"/>
  <c r="CB31" i="95"/>
  <c r="BZ32" i="95"/>
  <c r="S17" i="61"/>
  <c r="U17" i="61" s="1"/>
  <c r="Q30" i="61"/>
  <c r="EF31" i="105"/>
  <c r="ED32" i="105"/>
  <c r="BT32" i="61"/>
  <c r="BR33" i="61"/>
  <c r="BT32" i="92"/>
  <c r="BR33" i="92"/>
  <c r="BY31" i="61"/>
  <c r="BT22" i="61"/>
  <c r="BT24" i="61" s="1"/>
  <c r="DE31" i="102"/>
  <c r="CZ22" i="102"/>
  <c r="CZ24" i="102" s="1"/>
  <c r="CJ31" i="96"/>
  <c r="CH32" i="96"/>
  <c r="CZ32" i="98"/>
  <c r="CX33" i="98"/>
  <c r="AI10" i="61"/>
  <c r="AK10" i="61" s="1"/>
  <c r="CZ22" i="98"/>
  <c r="CZ24" i="98" s="1"/>
  <c r="DE31" i="98"/>
  <c r="CZ32" i="104"/>
  <c r="CX33" i="104"/>
  <c r="CB32" i="94"/>
  <c r="BZ33" i="94"/>
  <c r="DE31" i="104"/>
  <c r="CZ22" i="104"/>
  <c r="CZ24" i="104" s="1"/>
  <c r="CG31" i="94"/>
  <c r="CB22" i="94"/>
  <c r="CB24" i="94" s="1"/>
  <c r="BT37" i="113" l="1"/>
  <c r="BR38" i="113"/>
  <c r="EK31" i="106"/>
  <c r="EF22" i="106"/>
  <c r="EF24" i="106" s="1"/>
  <c r="EF38" i="112"/>
  <c r="ED39" i="112"/>
  <c r="ED33" i="106"/>
  <c r="EF32" i="106"/>
  <c r="ED33" i="107"/>
  <c r="EF32" i="107"/>
  <c r="EK31" i="107"/>
  <c r="EF22" i="107"/>
  <c r="EF24" i="107" s="1"/>
  <c r="CJ33" i="97"/>
  <c r="CH34" i="97"/>
  <c r="S17" i="113"/>
  <c r="U17" i="113" s="1"/>
  <c r="Q30" i="113"/>
  <c r="BT32" i="89"/>
  <c r="BR33" i="89"/>
  <c r="CZ33" i="100"/>
  <c r="CX34" i="100"/>
  <c r="CZ22" i="101"/>
  <c r="CZ24" i="101" s="1"/>
  <c r="DE31" i="101"/>
  <c r="BT22" i="89"/>
  <c r="BT24" i="89" s="1"/>
  <c r="BY31" i="89"/>
  <c r="CZ32" i="101"/>
  <c r="CX33" i="101"/>
  <c r="CJ32" i="96"/>
  <c r="CH33" i="96"/>
  <c r="CJ22" i="96"/>
  <c r="CJ24" i="96" s="1"/>
  <c r="CO31" i="96"/>
  <c r="W17" i="61"/>
  <c r="Y17" i="61" s="1"/>
  <c r="U30" i="61"/>
  <c r="CB33" i="94"/>
  <c r="BZ34" i="94"/>
  <c r="BT33" i="61"/>
  <c r="BR34" i="61"/>
  <c r="CB32" i="95"/>
  <c r="BZ33" i="95"/>
  <c r="AN10" i="61"/>
  <c r="AM10" i="61"/>
  <c r="AQ10" i="61" s="1"/>
  <c r="CB22" i="95"/>
  <c r="CB24" i="95" s="1"/>
  <c r="CG31" i="95"/>
  <c r="CZ33" i="98"/>
  <c r="CX34" i="98"/>
  <c r="H20" i="84"/>
  <c r="D18" i="84"/>
  <c r="BT32" i="93"/>
  <c r="BR33" i="93"/>
  <c r="CZ33" i="104"/>
  <c r="CX34" i="104"/>
  <c r="EF32" i="105"/>
  <c r="ED33" i="105"/>
  <c r="CZ33" i="102"/>
  <c r="CX34" i="102"/>
  <c r="BY31" i="93"/>
  <c r="BT22" i="93"/>
  <c r="BT24" i="93" s="1"/>
  <c r="BT33" i="92"/>
  <c r="BR34" i="92"/>
  <c r="EK31" i="105"/>
  <c r="EF22" i="105"/>
  <c r="EF24" i="105" s="1"/>
  <c r="BT38" i="113" l="1"/>
  <c r="BR39" i="113"/>
  <c r="EF33" i="106"/>
  <c r="ED34" i="106"/>
  <c r="EF39" i="112"/>
  <c r="ED40" i="112"/>
  <c r="BR34" i="89"/>
  <c r="BT33" i="89"/>
  <c r="CZ33" i="101"/>
  <c r="CX34" i="101"/>
  <c r="W17" i="113"/>
  <c r="Y17" i="113" s="1"/>
  <c r="U30" i="113"/>
  <c r="CH35" i="97"/>
  <c r="CJ34" i="97"/>
  <c r="CX35" i="100"/>
  <c r="CZ34" i="100"/>
  <c r="EF33" i="107"/>
  <c r="ED34" i="107"/>
  <c r="CZ34" i="104"/>
  <c r="CX35" i="104"/>
  <c r="CZ34" i="98"/>
  <c r="CX35" i="98"/>
  <c r="CZ34" i="102"/>
  <c r="CX35" i="102"/>
  <c r="BT33" i="93"/>
  <c r="BR34" i="93"/>
  <c r="AA17" i="61"/>
  <c r="AC17" i="61" s="1"/>
  <c r="Y30" i="61"/>
  <c r="BT34" i="61"/>
  <c r="BR35" i="61"/>
  <c r="BT34" i="92"/>
  <c r="BR35" i="92"/>
  <c r="EF33" i="105"/>
  <c r="ED34" i="105"/>
  <c r="D19" i="84"/>
  <c r="H15" i="84"/>
  <c r="CB34" i="94"/>
  <c r="BZ35" i="94"/>
  <c r="CB33" i="95"/>
  <c r="BZ34" i="95"/>
  <c r="CJ33" i="96"/>
  <c r="CH34" i="96"/>
  <c r="BT39" i="113" l="1"/>
  <c r="BR40" i="113"/>
  <c r="EF40" i="112"/>
  <c r="ED41" i="112"/>
  <c r="EF34" i="106"/>
  <c r="ED35" i="106"/>
  <c r="CH36" i="97"/>
  <c r="CJ35" i="97"/>
  <c r="AA17" i="113"/>
  <c r="AC17" i="113" s="1"/>
  <c r="Y30" i="113"/>
  <c r="ED35" i="107"/>
  <c r="EF34" i="107"/>
  <c r="CX35" i="101"/>
  <c r="CZ34" i="101"/>
  <c r="CX36" i="100"/>
  <c r="CZ35" i="100"/>
  <c r="BT34" i="89"/>
  <c r="BR35" i="89"/>
  <c r="CZ35" i="98"/>
  <c r="CX36" i="98"/>
  <c r="CB34" i="95"/>
  <c r="BZ35" i="95"/>
  <c r="BT35" i="92"/>
  <c r="BR36" i="92"/>
  <c r="BT34" i="93"/>
  <c r="BR35" i="93"/>
  <c r="CJ34" i="96"/>
  <c r="CH35" i="96"/>
  <c r="CB35" i="94"/>
  <c r="BZ36" i="94"/>
  <c r="BT35" i="61"/>
  <c r="BR36" i="61"/>
  <c r="CZ35" i="102"/>
  <c r="CX36" i="102"/>
  <c r="D20" i="84"/>
  <c r="H19" i="84"/>
  <c r="H16" i="84"/>
  <c r="H14" i="84"/>
  <c r="AE17" i="61"/>
  <c r="AG17" i="61" s="1"/>
  <c r="AC30" i="61"/>
  <c r="EF34" i="105"/>
  <c r="ED35" i="105"/>
  <c r="CZ35" i="104"/>
  <c r="CX36" i="104"/>
  <c r="BT40" i="113" l="1"/>
  <c r="BR41" i="113"/>
  <c r="EF35" i="106"/>
  <c r="ED36" i="106"/>
  <c r="EF41" i="112"/>
  <c r="ED42" i="112"/>
  <c r="EF35" i="107"/>
  <c r="ED36" i="107"/>
  <c r="CX36" i="101"/>
  <c r="CZ35" i="101"/>
  <c r="BT35" i="89"/>
  <c r="BR36" i="89"/>
  <c r="AE17" i="113"/>
  <c r="AG17" i="113" s="1"/>
  <c r="AC30" i="113"/>
  <c r="CZ36" i="100"/>
  <c r="CX37" i="100"/>
  <c r="CJ36" i="97"/>
  <c r="CH37" i="97"/>
  <c r="CZ36" i="98"/>
  <c r="CX37" i="98"/>
  <c r="CB36" i="94"/>
  <c r="BZ37" i="94"/>
  <c r="CB35" i="95"/>
  <c r="BZ36" i="95"/>
  <c r="D21" i="84"/>
  <c r="D22" i="84" s="1"/>
  <c r="H17" i="84"/>
  <c r="CZ36" i="104"/>
  <c r="CX37" i="104"/>
  <c r="CJ35" i="96"/>
  <c r="CH36" i="96"/>
  <c r="CZ36" i="102"/>
  <c r="CX37" i="102"/>
  <c r="BT35" i="93"/>
  <c r="BR36" i="93"/>
  <c r="AI17" i="61"/>
  <c r="AK17" i="61" s="1"/>
  <c r="AG30" i="61"/>
  <c r="EF35" i="105"/>
  <c r="ED36" i="105"/>
  <c r="BT36" i="61"/>
  <c r="BR37" i="61"/>
  <c r="BT36" i="92"/>
  <c r="BR37" i="92"/>
  <c r="BR42" i="113" l="1"/>
  <c r="BT41" i="113"/>
  <c r="EF42" i="112"/>
  <c r="ED43" i="112"/>
  <c r="EF36" i="106"/>
  <c r="ED37" i="106"/>
  <c r="CZ36" i="101"/>
  <c r="CX37" i="101"/>
  <c r="CX38" i="100"/>
  <c r="CZ37" i="100"/>
  <c r="EF36" i="107"/>
  <c r="ED37" i="107"/>
  <c r="BR37" i="89"/>
  <c r="BT36" i="89"/>
  <c r="CJ37" i="97"/>
  <c r="CH38" i="97"/>
  <c r="AI17" i="113"/>
  <c r="AK17" i="113" s="1"/>
  <c r="AN17" i="113" s="1"/>
  <c r="AN29" i="113" s="1"/>
  <c r="AN33" i="113" s="1"/>
  <c r="AN34" i="113" s="1"/>
  <c r="AG30" i="113"/>
  <c r="CZ37" i="104"/>
  <c r="CX38" i="104"/>
  <c r="AN17" i="61"/>
  <c r="AN29" i="61" s="1"/>
  <c r="AN33" i="61" s="1"/>
  <c r="AM17" i="61"/>
  <c r="AQ17" i="61" s="1"/>
  <c r="AQ29" i="61" s="1"/>
  <c r="AS29" i="61" s="1"/>
  <c r="AK30" i="61"/>
  <c r="AN30" i="61" s="1"/>
  <c r="BT37" i="61"/>
  <c r="BR38" i="61"/>
  <c r="CZ37" i="102"/>
  <c r="CX38" i="102"/>
  <c r="CB36" i="95"/>
  <c r="BZ37" i="95"/>
  <c r="EF36" i="105"/>
  <c r="ED37" i="105"/>
  <c r="CB37" i="94"/>
  <c r="BZ38" i="94"/>
  <c r="BT37" i="92"/>
  <c r="BR38" i="92"/>
  <c r="BT36" i="93"/>
  <c r="BR37" i="93"/>
  <c r="CJ36" i="96"/>
  <c r="CH37" i="96"/>
  <c r="CZ37" i="98"/>
  <c r="CX38" i="98"/>
  <c r="D23" i="84"/>
  <c r="H13" i="84"/>
  <c r="BT42" i="113" l="1"/>
  <c r="BR43" i="113"/>
  <c r="EF43" i="112"/>
  <c r="ED44" i="112"/>
  <c r="ED38" i="106"/>
  <c r="EF37" i="106"/>
  <c r="L72" i="113"/>
  <c r="M72" i="113" s="1"/>
  <c r="AQ31" i="113"/>
  <c r="AN48" i="113"/>
  <c r="AQ32" i="113"/>
  <c r="AS32" i="113" s="1"/>
  <c r="BT37" i="89"/>
  <c r="BR38" i="89"/>
  <c r="ED38" i="107"/>
  <c r="EF37" i="107"/>
  <c r="AM17" i="113"/>
  <c r="AQ17" i="113" s="1"/>
  <c r="AQ29" i="113" s="1"/>
  <c r="AS29" i="113" s="1"/>
  <c r="AT29" i="113" s="1"/>
  <c r="AK30" i="113"/>
  <c r="AN30" i="113" s="1"/>
  <c r="CH39" i="97"/>
  <c r="CJ38" i="97"/>
  <c r="CZ37" i="101"/>
  <c r="CX38" i="101"/>
  <c r="CZ38" i="100"/>
  <c r="CX39" i="100"/>
  <c r="BT37" i="93"/>
  <c r="BR38" i="93"/>
  <c r="EF37" i="105"/>
  <c r="ED38" i="105"/>
  <c r="BT38" i="61"/>
  <c r="BR39" i="61"/>
  <c r="BT38" i="92"/>
  <c r="BR39" i="92"/>
  <c r="CB38" i="94"/>
  <c r="BZ39" i="94"/>
  <c r="CB37" i="95"/>
  <c r="BZ38" i="95"/>
  <c r="AN34" i="61"/>
  <c r="CZ38" i="104"/>
  <c r="CX39" i="104"/>
  <c r="H22" i="84"/>
  <c r="D24" i="84"/>
  <c r="CZ38" i="98"/>
  <c r="CX39" i="98"/>
  <c r="CJ37" i="96"/>
  <c r="CH38" i="96"/>
  <c r="CZ38" i="102"/>
  <c r="CX39" i="102"/>
  <c r="BR44" i="113" l="1"/>
  <c r="BT43" i="113"/>
  <c r="ED39" i="106"/>
  <c r="EF38" i="106"/>
  <c r="EF44" i="112"/>
  <c r="ED45" i="112"/>
  <c r="CX40" i="100"/>
  <c r="CZ39" i="100"/>
  <c r="ED39" i="107"/>
  <c r="EF38" i="107"/>
  <c r="CX39" i="101"/>
  <c r="CZ38" i="101"/>
  <c r="BR39" i="89"/>
  <c r="BT38" i="89"/>
  <c r="AS60" i="113"/>
  <c r="AS48" i="113"/>
  <c r="AS50" i="113" s="1"/>
  <c r="AS57" i="113" s="1"/>
  <c r="AT57" i="113" s="1"/>
  <c r="AT58" i="113" s="1"/>
  <c r="AS56" i="113" s="1"/>
  <c r="AN49" i="113"/>
  <c r="AN56" i="113"/>
  <c r="CH40" i="97"/>
  <c r="CJ39" i="97"/>
  <c r="Q72" i="113"/>
  <c r="S72" i="113"/>
  <c r="CZ39" i="104"/>
  <c r="CX40" i="104"/>
  <c r="AQ31" i="61"/>
  <c r="L72" i="61"/>
  <c r="M72" i="61" s="1"/>
  <c r="BT39" i="61"/>
  <c r="BR40" i="61"/>
  <c r="CB38" i="95"/>
  <c r="BZ39" i="95"/>
  <c r="CJ38" i="96"/>
  <c r="CH39" i="96"/>
  <c r="EF38" i="105"/>
  <c r="ED39" i="105"/>
  <c r="CB39" i="94"/>
  <c r="BZ40" i="94"/>
  <c r="CZ39" i="102"/>
  <c r="CX40" i="102"/>
  <c r="CZ39" i="98"/>
  <c r="CX40" i="98"/>
  <c r="BT39" i="92"/>
  <c r="BR40" i="92"/>
  <c r="D25" i="84"/>
  <c r="H24" i="84"/>
  <c r="BT38" i="93"/>
  <c r="BR39" i="93"/>
  <c r="G67" i="17"/>
  <c r="H78" i="17"/>
  <c r="I78" i="17" s="1"/>
  <c r="BT44" i="113" l="1"/>
  <c r="BR45" i="113"/>
  <c r="EF45" i="112"/>
  <c r="ED46" i="112"/>
  <c r="ED40" i="106"/>
  <c r="EF39" i="106"/>
  <c r="U72" i="113"/>
  <c r="BT39" i="89"/>
  <c r="BR40" i="89"/>
  <c r="CZ39" i="101"/>
  <c r="CX40" i="101"/>
  <c r="AN69" i="113"/>
  <c r="AN58" i="113"/>
  <c r="AN59" i="113"/>
  <c r="AN67" i="113"/>
  <c r="AN73" i="113"/>
  <c r="AN77" i="113"/>
  <c r="AN62" i="113"/>
  <c r="AN76" i="113"/>
  <c r="AN71" i="113"/>
  <c r="AN74" i="113"/>
  <c r="AN72" i="113"/>
  <c r="AN79" i="113"/>
  <c r="AN81" i="113"/>
  <c r="AN70" i="113"/>
  <c r="AN75" i="113"/>
  <c r="AN63" i="113"/>
  <c r="AN66" i="113"/>
  <c r="AN68" i="113"/>
  <c r="AN80" i="113"/>
  <c r="AN61" i="113"/>
  <c r="AN60" i="113"/>
  <c r="AN78" i="113"/>
  <c r="AO65" i="113"/>
  <c r="AO82" i="113" s="1"/>
  <c r="CJ40" i="97"/>
  <c r="CH41" i="97"/>
  <c r="EF39" i="107"/>
  <c r="ED40" i="107"/>
  <c r="AS61" i="113"/>
  <c r="AV48" i="113"/>
  <c r="AX47" i="113"/>
  <c r="AV36" i="113" s="1"/>
  <c r="CZ40" i="100"/>
  <c r="CX41" i="100"/>
  <c r="CB40" i="94"/>
  <c r="BZ41" i="94"/>
  <c r="EF39" i="105"/>
  <c r="ED40" i="105"/>
  <c r="BT40" i="61"/>
  <c r="BR41" i="61"/>
  <c r="H21" i="84"/>
  <c r="H25" i="84"/>
  <c r="CB39" i="95"/>
  <c r="BZ40" i="95"/>
  <c r="CZ40" i="98"/>
  <c r="CX41" i="98"/>
  <c r="S72" i="61"/>
  <c r="Q72" i="61"/>
  <c r="U72" i="61" s="1"/>
  <c r="BT39" i="93"/>
  <c r="BR40" i="93"/>
  <c r="BT40" i="92"/>
  <c r="BR41" i="92"/>
  <c r="CZ40" i="102"/>
  <c r="CX41" i="102"/>
  <c r="CJ39" i="96"/>
  <c r="CH40" i="96"/>
  <c r="CZ40" i="104"/>
  <c r="CX41" i="104"/>
  <c r="K67" i="17"/>
  <c r="K68" i="17" s="1"/>
  <c r="K70" i="17" s="1"/>
  <c r="BR46" i="113" l="1"/>
  <c r="BT45" i="113"/>
  <c r="EF40" i="106"/>
  <c r="ED41" i="106"/>
  <c r="EF46" i="112"/>
  <c r="ED47" i="112"/>
  <c r="AO83" i="113"/>
  <c r="AN83" i="113" s="1"/>
  <c r="AN84" i="113" s="1"/>
  <c r="AO84" i="113"/>
  <c r="BT40" i="89"/>
  <c r="BR41" i="89"/>
  <c r="BU25" i="113"/>
  <c r="BU26" i="113" s="1"/>
  <c r="BU27" i="113" s="1"/>
  <c r="BU28" i="113" s="1"/>
  <c r="BU29" i="113" s="1"/>
  <c r="BU30" i="113" s="1"/>
  <c r="BU31" i="113" s="1"/>
  <c r="BU32" i="113" s="1"/>
  <c r="BU33" i="113" s="1"/>
  <c r="BU34" i="113" s="1"/>
  <c r="BU35" i="113" s="1"/>
  <c r="BU36" i="113" s="1"/>
  <c r="BU37" i="113" s="1"/>
  <c r="BU38" i="113" s="1"/>
  <c r="BU39" i="113" s="1"/>
  <c r="BU40" i="113" s="1"/>
  <c r="BU41" i="113" s="1"/>
  <c r="BU42" i="113" s="1"/>
  <c r="BU43" i="113" s="1"/>
  <c r="BU44" i="113" s="1"/>
  <c r="BU45" i="113" s="1"/>
  <c r="BU46" i="113" s="1"/>
  <c r="BU47" i="113" s="1"/>
  <c r="BU48" i="113" s="1"/>
  <c r="BU49" i="113" s="1"/>
  <c r="BU50" i="113" s="1"/>
  <c r="BU51" i="113" s="1"/>
  <c r="BU52" i="113" s="1"/>
  <c r="BU53" i="113" s="1"/>
  <c r="BU54" i="113" s="1"/>
  <c r="BU55" i="113" s="1"/>
  <c r="CZ41" i="100"/>
  <c r="CX42" i="100"/>
  <c r="CX41" i="101"/>
  <c r="CZ40" i="101"/>
  <c r="EF40" i="107"/>
  <c r="ED41" i="107"/>
  <c r="Y72" i="113"/>
  <c r="AA72" i="113" s="1"/>
  <c r="AN85" i="113"/>
  <c r="CH42" i="97"/>
  <c r="CJ41" i="97"/>
  <c r="H26" i="84"/>
  <c r="BT40" i="93"/>
  <c r="BR41" i="93"/>
  <c r="CB41" i="94"/>
  <c r="BZ42" i="94"/>
  <c r="CJ40" i="96"/>
  <c r="CH41" i="96"/>
  <c r="BT41" i="61"/>
  <c r="BR42" i="61"/>
  <c r="CZ41" i="102"/>
  <c r="CX42" i="102"/>
  <c r="CB40" i="95"/>
  <c r="BZ41" i="95"/>
  <c r="EF40" i="105"/>
  <c r="ED41" i="105"/>
  <c r="BT41" i="92"/>
  <c r="BR42" i="92"/>
  <c r="CZ41" i="98"/>
  <c r="CX42" i="98"/>
  <c r="K78" i="17"/>
  <c r="K77" i="17"/>
  <c r="K80" i="17"/>
  <c r="K79" i="17"/>
  <c r="K71" i="17"/>
  <c r="K72" i="17"/>
  <c r="K76" i="17"/>
  <c r="K75" i="17"/>
  <c r="K74" i="17"/>
  <c r="D4" i="20"/>
  <c r="K73" i="17"/>
  <c r="CZ41" i="104"/>
  <c r="CX42" i="104"/>
  <c r="E5" i="61"/>
  <c r="G5" i="61" s="1"/>
  <c r="BT46" i="113" l="1"/>
  <c r="BR47" i="113"/>
  <c r="EF47" i="112"/>
  <c r="ED48" i="112"/>
  <c r="EF41" i="106"/>
  <c r="ED42" i="106"/>
  <c r="AN87" i="113"/>
  <c r="AA78" i="113"/>
  <c r="AA76" i="113"/>
  <c r="CZ42" i="100"/>
  <c r="CX43" i="100"/>
  <c r="CJ42" i="97"/>
  <c r="CH43" i="97"/>
  <c r="BR42" i="89"/>
  <c r="BT41" i="89"/>
  <c r="EF41" i="107"/>
  <c r="ED42" i="107"/>
  <c r="CZ41" i="101"/>
  <c r="CX42" i="101"/>
  <c r="BT42" i="92"/>
  <c r="BR43" i="92"/>
  <c r="EF41" i="105"/>
  <c r="ED42" i="105"/>
  <c r="AN26" i="20"/>
  <c r="C10" i="20"/>
  <c r="C16" i="20"/>
  <c r="C13" i="20" s="1"/>
  <c r="D13" i="20" s="1"/>
  <c r="CZ42" i="102"/>
  <c r="CX43" i="102"/>
  <c r="CB41" i="95"/>
  <c r="BZ42" i="95"/>
  <c r="BT42" i="61"/>
  <c r="BR43" i="61"/>
  <c r="CZ42" i="104"/>
  <c r="CX43" i="104"/>
  <c r="CJ41" i="96"/>
  <c r="CH42" i="96"/>
  <c r="CB42" i="94"/>
  <c r="BZ43" i="94"/>
  <c r="CZ42" i="98"/>
  <c r="CX43" i="98"/>
  <c r="BT41" i="93"/>
  <c r="BR42" i="93"/>
  <c r="I5" i="61"/>
  <c r="K5" i="61" s="1"/>
  <c r="M5" i="61" s="1"/>
  <c r="O5" i="61" s="1"/>
  <c r="Q5" i="61" s="1"/>
  <c r="S5" i="61" s="1"/>
  <c r="U5" i="61" s="1"/>
  <c r="W5" i="61" s="1"/>
  <c r="Y5" i="61" s="1"/>
  <c r="AA5" i="61" s="1"/>
  <c r="AC5" i="61" s="1"/>
  <c r="AE5" i="61" s="1"/>
  <c r="AG5" i="61" s="1"/>
  <c r="AI5" i="61" s="1"/>
  <c r="AK5" i="61" s="1"/>
  <c r="AM5" i="61" s="1"/>
  <c r="AQ5" i="61" s="1"/>
  <c r="AT28" i="61" s="1"/>
  <c r="AT29" i="61" s="1"/>
  <c r="AN46" i="89" s="1"/>
  <c r="AN47" i="89" s="1"/>
  <c r="AN35" i="61"/>
  <c r="AN47" i="61" s="1"/>
  <c r="AQ41" i="89" s="1"/>
  <c r="BT47" i="113" l="1"/>
  <c r="BR48" i="113"/>
  <c r="EF48" i="112"/>
  <c r="ED49" i="112"/>
  <c r="EF42" i="106"/>
  <c r="ED43" i="106"/>
  <c r="BT42" i="89"/>
  <c r="BR43" i="89"/>
  <c r="CJ43" i="97"/>
  <c r="CH44" i="97"/>
  <c r="CZ42" i="101"/>
  <c r="CX43" i="101"/>
  <c r="CZ43" i="100"/>
  <c r="CX44" i="100"/>
  <c r="EF42" i="107"/>
  <c r="ED43" i="107"/>
  <c r="BT43" i="61"/>
  <c r="BR44" i="61"/>
  <c r="CJ42" i="96"/>
  <c r="CH43" i="96"/>
  <c r="F13" i="20"/>
  <c r="D53" i="20"/>
  <c r="C19" i="20"/>
  <c r="CZ43" i="98"/>
  <c r="CX44" i="98"/>
  <c r="CZ43" i="104"/>
  <c r="CX44" i="104"/>
  <c r="CZ43" i="102"/>
  <c r="CX44" i="102"/>
  <c r="CB42" i="95"/>
  <c r="BZ43" i="95"/>
  <c r="EF42" i="105"/>
  <c r="ED43" i="105"/>
  <c r="BT42" i="93"/>
  <c r="BR43" i="93"/>
  <c r="CB43" i="94"/>
  <c r="BZ44" i="94"/>
  <c r="BT43" i="92"/>
  <c r="BR44" i="92"/>
  <c r="AN5" i="61"/>
  <c r="E8" i="89"/>
  <c r="AQ42" i="89"/>
  <c r="AQ43" i="89"/>
  <c r="AP32" i="89"/>
  <c r="AQ35" i="61"/>
  <c r="BT48" i="113" l="1"/>
  <c r="BR49" i="113"/>
  <c r="ED44" i="106"/>
  <c r="EF43" i="106"/>
  <c r="EF49" i="112"/>
  <c r="ED50" i="112"/>
  <c r="CX44" i="101"/>
  <c r="CZ43" i="101"/>
  <c r="CZ44" i="100"/>
  <c r="CX45" i="100"/>
  <c r="CJ44" i="97"/>
  <c r="CH45" i="97"/>
  <c r="EF43" i="107"/>
  <c r="ED44" i="107"/>
  <c r="BR44" i="89"/>
  <c r="BT43" i="89"/>
  <c r="BT44" i="61"/>
  <c r="BR45" i="61"/>
  <c r="CJ43" i="96"/>
  <c r="CH44" i="96"/>
  <c r="CB44" i="94"/>
  <c r="BZ45" i="94"/>
  <c r="BT44" i="92"/>
  <c r="BR45" i="92"/>
  <c r="BT43" i="93"/>
  <c r="BR44" i="93"/>
  <c r="CZ44" i="102"/>
  <c r="CX45" i="102"/>
  <c r="CZ44" i="98"/>
  <c r="CX45" i="98"/>
  <c r="F24" i="20"/>
  <c r="H13" i="20"/>
  <c r="F53" i="20"/>
  <c r="D54" i="20"/>
  <c r="D56" i="20" s="1"/>
  <c r="CB43" i="95"/>
  <c r="BZ44" i="95"/>
  <c r="CZ44" i="104"/>
  <c r="CX45" i="104"/>
  <c r="EF43" i="105"/>
  <c r="ED44" i="105"/>
  <c r="AQ44" i="89"/>
  <c r="E11" i="89"/>
  <c r="AN32" i="89"/>
  <c r="E51" i="89"/>
  <c r="AP32" i="61"/>
  <c r="AQ32" i="61" s="1"/>
  <c r="AS32" i="61" s="1"/>
  <c r="I6" i="26"/>
  <c r="I8" i="26" s="1"/>
  <c r="I12" i="26" s="1"/>
  <c r="I16" i="26" s="1"/>
  <c r="AN48" i="61"/>
  <c r="BT49" i="113" l="1"/>
  <c r="BR50" i="113"/>
  <c r="EF50" i="112"/>
  <c r="ED51" i="112"/>
  <c r="EF44" i="106"/>
  <c r="ED45" i="106"/>
  <c r="CX46" i="100"/>
  <c r="CZ45" i="100"/>
  <c r="ED45" i="107"/>
  <c r="EF44" i="107"/>
  <c r="CJ45" i="97"/>
  <c r="CH46" i="97"/>
  <c r="BR45" i="89"/>
  <c r="BT44" i="89"/>
  <c r="CZ44" i="101"/>
  <c r="CX45" i="101"/>
  <c r="CJ44" i="96"/>
  <c r="CH45" i="96"/>
  <c r="BT44" i="93"/>
  <c r="BR45" i="93"/>
  <c r="CZ45" i="104"/>
  <c r="CX46" i="104"/>
  <c r="CZ45" i="102"/>
  <c r="CX46" i="102"/>
  <c r="H24" i="20"/>
  <c r="J13" i="20"/>
  <c r="L13" i="20" s="1"/>
  <c r="BT45" i="92"/>
  <c r="BR46" i="92"/>
  <c r="BT45" i="61"/>
  <c r="BR46" i="61"/>
  <c r="H53" i="20"/>
  <c r="EF44" i="105"/>
  <c r="ED45" i="105"/>
  <c r="CB44" i="95"/>
  <c r="BZ45" i="95"/>
  <c r="CZ45" i="98"/>
  <c r="CX46" i="98"/>
  <c r="CB45" i="94"/>
  <c r="BZ46" i="94"/>
  <c r="F60" i="20"/>
  <c r="H60" i="20" s="1"/>
  <c r="F56" i="20"/>
  <c r="H56" i="20" s="1"/>
  <c r="F58" i="20"/>
  <c r="H58" i="20" s="1"/>
  <c r="C56" i="20"/>
  <c r="C57" i="20" s="1"/>
  <c r="E14" i="89"/>
  <c r="E21" i="89"/>
  <c r="E17" i="89"/>
  <c r="G17" i="89" s="1"/>
  <c r="E5" i="89"/>
  <c r="G5" i="89" s="1"/>
  <c r="AN56" i="61"/>
  <c r="AN49" i="61"/>
  <c r="I18" i="26"/>
  <c r="I20" i="26" s="1"/>
  <c r="M4" i="26" s="1"/>
  <c r="AS60" i="61"/>
  <c r="AX47" i="61" s="1"/>
  <c r="AV36" i="61" s="1"/>
  <c r="AS48" i="61"/>
  <c r="AS50" i="61" s="1"/>
  <c r="AS57" i="61" s="1"/>
  <c r="AT57" i="61" s="1"/>
  <c r="AT58" i="61" s="1"/>
  <c r="AS56" i="61" s="1"/>
  <c r="BR51" i="113" l="1"/>
  <c r="BT50" i="113"/>
  <c r="EF45" i="106"/>
  <c r="ED46" i="106"/>
  <c r="EF51" i="112"/>
  <c r="ED52" i="112"/>
  <c r="H62" i="20"/>
  <c r="CH47" i="97"/>
  <c r="CJ46" i="97"/>
  <c r="CX46" i="101"/>
  <c r="CZ45" i="101"/>
  <c r="BT45" i="89"/>
  <c r="BR46" i="89"/>
  <c r="EF45" i="107"/>
  <c r="ED46" i="107"/>
  <c r="CZ46" i="100"/>
  <c r="CX47" i="100"/>
  <c r="BT46" i="92"/>
  <c r="BR47" i="92"/>
  <c r="CJ45" i="96"/>
  <c r="CH46" i="96"/>
  <c r="F62" i="20"/>
  <c r="BT45" i="93"/>
  <c r="BR46" i="93"/>
  <c r="AN79" i="61"/>
  <c r="E6" i="108" s="1"/>
  <c r="AN78" i="61"/>
  <c r="E5" i="109" s="1"/>
  <c r="EF45" i="105"/>
  <c r="ED46" i="105"/>
  <c r="CZ46" i="104"/>
  <c r="CX47" i="104"/>
  <c r="CZ46" i="98"/>
  <c r="CX47" i="98"/>
  <c r="CB45" i="95"/>
  <c r="BZ46" i="95"/>
  <c r="BT46" i="61"/>
  <c r="BR47" i="61"/>
  <c r="CZ46" i="102"/>
  <c r="CX47" i="102"/>
  <c r="CB46" i="94"/>
  <c r="BZ47" i="94"/>
  <c r="N13" i="20"/>
  <c r="P13" i="20" s="1"/>
  <c r="L24" i="20"/>
  <c r="I17" i="89"/>
  <c r="K17" i="89" s="1"/>
  <c r="M17" i="89" s="1"/>
  <c r="O17" i="89" s="1"/>
  <c r="Q17" i="89" s="1"/>
  <c r="S17" i="89" s="1"/>
  <c r="U17" i="89" s="1"/>
  <c r="W17" i="89" s="1"/>
  <c r="Y17" i="89" s="1"/>
  <c r="AA17" i="89" s="1"/>
  <c r="AC17" i="89" s="1"/>
  <c r="AE17" i="89" s="1"/>
  <c r="AG17" i="89" s="1"/>
  <c r="AI17" i="89" s="1"/>
  <c r="AK17" i="89" s="1"/>
  <c r="AM17" i="89" s="1"/>
  <c r="AQ17" i="89" s="1"/>
  <c r="G27" i="89"/>
  <c r="G21" i="89"/>
  <c r="G23" i="89"/>
  <c r="E63" i="89"/>
  <c r="G25" i="89"/>
  <c r="I5" i="89"/>
  <c r="K5" i="89" s="1"/>
  <c r="M5" i="89" s="1"/>
  <c r="O5" i="89" s="1"/>
  <c r="Q5" i="89" s="1"/>
  <c r="S5" i="89" s="1"/>
  <c r="U5" i="89" s="1"/>
  <c r="W5" i="89" s="1"/>
  <c r="Y5" i="89" s="1"/>
  <c r="AA5" i="89" s="1"/>
  <c r="AC5" i="89" s="1"/>
  <c r="AE5" i="89" s="1"/>
  <c r="AG5" i="89" s="1"/>
  <c r="AI5" i="89" s="1"/>
  <c r="AK5" i="89" s="1"/>
  <c r="AM5" i="89" s="1"/>
  <c r="AQ5" i="89" s="1"/>
  <c r="AT28" i="89" s="1"/>
  <c r="G12" i="89"/>
  <c r="G10" i="89"/>
  <c r="G14" i="89"/>
  <c r="E57" i="89"/>
  <c r="AN81" i="61"/>
  <c r="AN72" i="61"/>
  <c r="AN74" i="61"/>
  <c r="AN71" i="61"/>
  <c r="AN66" i="61"/>
  <c r="AN73" i="61"/>
  <c r="AN70" i="61"/>
  <c r="AN69" i="61"/>
  <c r="AN67" i="61"/>
  <c r="AN80" i="61"/>
  <c r="AN77" i="61"/>
  <c r="E5" i="110" s="1"/>
  <c r="AN60" i="61"/>
  <c r="AN61" i="61"/>
  <c r="AN68" i="61"/>
  <c r="AN62" i="61"/>
  <c r="AN75" i="61"/>
  <c r="AN59" i="61"/>
  <c r="AN76" i="61"/>
  <c r="AN58" i="61"/>
  <c r="BU25" i="61" s="1"/>
  <c r="BU26" i="61" s="1"/>
  <c r="BU27" i="61" s="1"/>
  <c r="BU28" i="61" s="1"/>
  <c r="BU29" i="61" s="1"/>
  <c r="BU30" i="61" s="1"/>
  <c r="BU31" i="61" s="1"/>
  <c r="BU32" i="61" s="1"/>
  <c r="BU33" i="61" s="1"/>
  <c r="BU34" i="61" s="1"/>
  <c r="BU35" i="61" s="1"/>
  <c r="BU36" i="61" s="1"/>
  <c r="BU37" i="61" s="1"/>
  <c r="BU38" i="61" s="1"/>
  <c r="BU39" i="61" s="1"/>
  <c r="BU40" i="61" s="1"/>
  <c r="BU41" i="61" s="1"/>
  <c r="BU42" i="61" s="1"/>
  <c r="BU43" i="61" s="1"/>
  <c r="BU44" i="61" s="1"/>
  <c r="BU45" i="61" s="1"/>
  <c r="BU46" i="61" s="1"/>
  <c r="BU47" i="61" s="1"/>
  <c r="BU48" i="61" s="1"/>
  <c r="BU49" i="61" s="1"/>
  <c r="BU50" i="61" s="1"/>
  <c r="BU51" i="61" s="1"/>
  <c r="BU52" i="61" s="1"/>
  <c r="BU53" i="61" s="1"/>
  <c r="BU54" i="61" s="1"/>
  <c r="BU55" i="61" s="1"/>
  <c r="AN63" i="61"/>
  <c r="AO65" i="61"/>
  <c r="AV48" i="61"/>
  <c r="AS61" i="61"/>
  <c r="M8" i="26"/>
  <c r="M11" i="26" s="1"/>
  <c r="BT51" i="113" l="1"/>
  <c r="BR52" i="113"/>
  <c r="EF52" i="112"/>
  <c r="ED53" i="112"/>
  <c r="EF46" i="106"/>
  <c r="ED47" i="106"/>
  <c r="EF46" i="107"/>
  <c r="ED47" i="107"/>
  <c r="CZ47" i="100"/>
  <c r="CX48" i="100"/>
  <c r="BR47" i="89"/>
  <c r="BT46" i="89"/>
  <c r="CX47" i="101"/>
  <c r="CZ46" i="101"/>
  <c r="CJ47" i="97"/>
  <c r="CH48" i="97"/>
  <c r="BT47" i="92"/>
  <c r="BR48" i="92"/>
  <c r="CZ47" i="102"/>
  <c r="CX48" i="102"/>
  <c r="EF46" i="105"/>
  <c r="ED47" i="105"/>
  <c r="BT47" i="61"/>
  <c r="BR48" i="61"/>
  <c r="CZ47" i="98"/>
  <c r="CX48" i="98"/>
  <c r="CZ47" i="104"/>
  <c r="CX48" i="104"/>
  <c r="CJ46" i="96"/>
  <c r="CH47" i="96"/>
  <c r="P24" i="20"/>
  <c r="R13" i="20"/>
  <c r="T13" i="20" s="1"/>
  <c r="CB47" i="94"/>
  <c r="BZ48" i="94"/>
  <c r="CB46" i="95"/>
  <c r="BZ47" i="95"/>
  <c r="BT46" i="93"/>
  <c r="BR47" i="93"/>
  <c r="G67" i="89"/>
  <c r="I67" i="89" s="1"/>
  <c r="K67" i="89" s="1"/>
  <c r="D63" i="89"/>
  <c r="G65" i="89"/>
  <c r="I65" i="89" s="1"/>
  <c r="K65" i="89" s="1"/>
  <c r="G63" i="89"/>
  <c r="I63" i="89" s="1"/>
  <c r="K63" i="89" s="1"/>
  <c r="G69" i="89"/>
  <c r="I69" i="89" s="1"/>
  <c r="K69" i="89" s="1"/>
  <c r="I14" i="89"/>
  <c r="K14" i="89" s="1"/>
  <c r="M14" i="89" s="1"/>
  <c r="O14" i="89" s="1"/>
  <c r="Q14" i="89" s="1"/>
  <c r="S14" i="89" s="1"/>
  <c r="U14" i="89" s="1"/>
  <c r="W14" i="89" s="1"/>
  <c r="Y14" i="89" s="1"/>
  <c r="AA14" i="89" s="1"/>
  <c r="AC14" i="89" s="1"/>
  <c r="AE14" i="89" s="1"/>
  <c r="AG14" i="89" s="1"/>
  <c r="AI14" i="89" s="1"/>
  <c r="AK14" i="89" s="1"/>
  <c r="AM14" i="89" s="1"/>
  <c r="AQ14" i="89" s="1"/>
  <c r="I21" i="89"/>
  <c r="K21" i="89" s="1"/>
  <c r="M21" i="89" s="1"/>
  <c r="O21" i="89" s="1"/>
  <c r="Q21" i="89" s="1"/>
  <c r="S21" i="89" s="1"/>
  <c r="U21" i="89" s="1"/>
  <c r="W21" i="89" s="1"/>
  <c r="Y21" i="89" s="1"/>
  <c r="AA21" i="89" s="1"/>
  <c r="AC21" i="89" s="1"/>
  <c r="AE21" i="89" s="1"/>
  <c r="AG21" i="89" s="1"/>
  <c r="AI21" i="89" s="1"/>
  <c r="AK21" i="89" s="1"/>
  <c r="AM21" i="89" s="1"/>
  <c r="AQ21" i="89" s="1"/>
  <c r="I10" i="89"/>
  <c r="G30" i="89"/>
  <c r="I27" i="89"/>
  <c r="K27" i="89" s="1"/>
  <c r="M27" i="89" s="1"/>
  <c r="O27" i="89" s="1"/>
  <c r="Q27" i="89" s="1"/>
  <c r="S27" i="89" s="1"/>
  <c r="U27" i="89" s="1"/>
  <c r="W27" i="89" s="1"/>
  <c r="Y27" i="89" s="1"/>
  <c r="AA27" i="89" s="1"/>
  <c r="AC27" i="89" s="1"/>
  <c r="AE27" i="89" s="1"/>
  <c r="AG27" i="89" s="1"/>
  <c r="AI27" i="89" s="1"/>
  <c r="AK27" i="89" s="1"/>
  <c r="AM27" i="89" s="1"/>
  <c r="AQ27" i="89" s="1"/>
  <c r="I23" i="89"/>
  <c r="K23" i="89" s="1"/>
  <c r="M23" i="89" s="1"/>
  <c r="O23" i="89" s="1"/>
  <c r="Q23" i="89" s="1"/>
  <c r="S23" i="89" s="1"/>
  <c r="U23" i="89" s="1"/>
  <c r="W23" i="89" s="1"/>
  <c r="Y23" i="89" s="1"/>
  <c r="AA23" i="89" s="1"/>
  <c r="AC23" i="89" s="1"/>
  <c r="AE23" i="89" s="1"/>
  <c r="AG23" i="89" s="1"/>
  <c r="AI23" i="89" s="1"/>
  <c r="AK23" i="89" s="1"/>
  <c r="AM23" i="89" s="1"/>
  <c r="AQ23" i="89" s="1"/>
  <c r="I12" i="89"/>
  <c r="K12" i="89" s="1"/>
  <c r="M12" i="89" s="1"/>
  <c r="O12" i="89" s="1"/>
  <c r="Q12" i="89" s="1"/>
  <c r="S12" i="89" s="1"/>
  <c r="U12" i="89" s="1"/>
  <c r="W12" i="89" s="1"/>
  <c r="Y12" i="89" s="1"/>
  <c r="AA12" i="89" s="1"/>
  <c r="AC12" i="89" s="1"/>
  <c r="AE12" i="89" s="1"/>
  <c r="AG12" i="89" s="1"/>
  <c r="AI12" i="89" s="1"/>
  <c r="AK12" i="89" s="1"/>
  <c r="AM12" i="89" s="1"/>
  <c r="AQ12" i="89" s="1"/>
  <c r="AN17" i="89"/>
  <c r="I25" i="89"/>
  <c r="K25" i="89" s="1"/>
  <c r="M25" i="89" s="1"/>
  <c r="O25" i="89" s="1"/>
  <c r="Q25" i="89" s="1"/>
  <c r="S25" i="89" s="1"/>
  <c r="U25" i="89" s="1"/>
  <c r="W25" i="89" s="1"/>
  <c r="Y25" i="89" s="1"/>
  <c r="AA25" i="89" s="1"/>
  <c r="AC25" i="89" s="1"/>
  <c r="AE25" i="89" s="1"/>
  <c r="AG25" i="89" s="1"/>
  <c r="AI25" i="89" s="1"/>
  <c r="AK25" i="89" s="1"/>
  <c r="AM25" i="89" s="1"/>
  <c r="AQ25" i="89" s="1"/>
  <c r="G53" i="89"/>
  <c r="G57" i="89"/>
  <c r="I57" i="89" s="1"/>
  <c r="K57" i="89" s="1"/>
  <c r="D57" i="89"/>
  <c r="G55" i="89"/>
  <c r="I55" i="89" s="1"/>
  <c r="K55" i="89" s="1"/>
  <c r="AN5" i="89"/>
  <c r="AN85" i="61"/>
  <c r="AO82" i="61"/>
  <c r="Y72" i="61"/>
  <c r="AA72" i="61" s="1"/>
  <c r="M16" i="26"/>
  <c r="M19" i="26"/>
  <c r="M23" i="26" s="1"/>
  <c r="M26" i="26" s="1"/>
  <c r="BR53" i="113" l="1"/>
  <c r="BT52" i="113"/>
  <c r="EF53" i="112"/>
  <c r="ED54" i="112"/>
  <c r="EF47" i="106"/>
  <c r="ED48" i="106"/>
  <c r="BT47" i="89"/>
  <c r="BR48" i="89"/>
  <c r="CZ48" i="100"/>
  <c r="CX49" i="100"/>
  <c r="CZ47" i="101"/>
  <c r="CX48" i="101"/>
  <c r="ED48" i="107"/>
  <c r="EF47" i="107"/>
  <c r="CJ48" i="97"/>
  <c r="CH49" i="97"/>
  <c r="EF47" i="105"/>
  <c r="ED48" i="105"/>
  <c r="BT48" i="92"/>
  <c r="BR49" i="92"/>
  <c r="CB48" i="94"/>
  <c r="BZ49" i="94"/>
  <c r="CZ48" i="104"/>
  <c r="CX49" i="104"/>
  <c r="BT47" i="93"/>
  <c r="BR48" i="93"/>
  <c r="CZ48" i="98"/>
  <c r="CX49" i="98"/>
  <c r="CZ48" i="102"/>
  <c r="CX49" i="102"/>
  <c r="CB47" i="95"/>
  <c r="BZ48" i="95"/>
  <c r="CJ47" i="96"/>
  <c r="CH48" i="96"/>
  <c r="V13" i="20"/>
  <c r="X13" i="20" s="1"/>
  <c r="T24" i="20"/>
  <c r="BT48" i="61"/>
  <c r="BR49" i="61"/>
  <c r="AN14" i="89"/>
  <c r="I53" i="89"/>
  <c r="AN27" i="89"/>
  <c r="AN25" i="89"/>
  <c r="D60" i="89"/>
  <c r="E60" i="89" s="1"/>
  <c r="G60" i="89" s="1"/>
  <c r="I60" i="89" s="1"/>
  <c r="K60" i="89" s="1"/>
  <c r="AN12" i="89"/>
  <c r="K10" i="89"/>
  <c r="M10" i="89" s="1"/>
  <c r="I30" i="89"/>
  <c r="AN23" i="89"/>
  <c r="AN21" i="89"/>
  <c r="AN87" i="61"/>
  <c r="AA78" i="61"/>
  <c r="AA76" i="61"/>
  <c r="AO83" i="61"/>
  <c r="AN83" i="61" s="1"/>
  <c r="AN84" i="61" s="1"/>
  <c r="Q16" i="26"/>
  <c r="M28" i="26"/>
  <c r="BR54" i="113" l="1"/>
  <c r="BT53" i="113"/>
  <c r="EF48" i="106"/>
  <c r="ED49" i="106"/>
  <c r="EF54" i="112"/>
  <c r="ED55" i="112"/>
  <c r="EF55" i="112" s="1"/>
  <c r="ED49" i="107"/>
  <c r="EF48" i="107"/>
  <c r="CX49" i="101"/>
  <c r="CZ48" i="101"/>
  <c r="CH50" i="97"/>
  <c r="CJ49" i="97"/>
  <c r="BT48" i="89"/>
  <c r="BR49" i="89"/>
  <c r="CX50" i="100"/>
  <c r="CZ49" i="100"/>
  <c r="CZ49" i="102"/>
  <c r="CX50" i="102"/>
  <c r="BT49" i="61"/>
  <c r="BR50" i="61"/>
  <c r="CB48" i="95"/>
  <c r="BZ49" i="95"/>
  <c r="CZ49" i="104"/>
  <c r="CX50" i="104"/>
  <c r="BT48" i="93"/>
  <c r="BR49" i="93"/>
  <c r="CB49" i="94"/>
  <c r="BZ50" i="94"/>
  <c r="Z13" i="20"/>
  <c r="AB13" i="20" s="1"/>
  <c r="X24" i="20"/>
  <c r="BT49" i="92"/>
  <c r="BR50" i="92"/>
  <c r="CJ48" i="96"/>
  <c r="CH49" i="96"/>
  <c r="CZ49" i="98"/>
  <c r="CX50" i="98"/>
  <c r="EF48" i="105"/>
  <c r="ED49" i="105"/>
  <c r="D66" i="89"/>
  <c r="K53" i="89"/>
  <c r="K72" i="89" s="1"/>
  <c r="I72" i="89"/>
  <c r="G72" i="89"/>
  <c r="M30" i="89"/>
  <c r="O10" i="89"/>
  <c r="Q10" i="89" s="1"/>
  <c r="AO84" i="61"/>
  <c r="V12" i="26"/>
  <c r="V16" i="26"/>
  <c r="V5" i="26"/>
  <c r="V9" i="26"/>
  <c r="V11" i="26"/>
  <c r="V15" i="26"/>
  <c r="V7" i="26"/>
  <c r="V4" i="26"/>
  <c r="Q18" i="26"/>
  <c r="Q22" i="26" s="1"/>
  <c r="V13" i="26"/>
  <c r="V14" i="26"/>
  <c r="V10" i="26"/>
  <c r="V8" i="26"/>
  <c r="V6" i="26"/>
  <c r="BR55" i="113" l="1"/>
  <c r="BT55" i="113" s="1"/>
  <c r="BT54" i="113"/>
  <c r="EF49" i="106"/>
  <c r="ED50" i="106"/>
  <c r="CZ49" i="101"/>
  <c r="CX50" i="101"/>
  <c r="BT49" i="89"/>
  <c r="BR50" i="89"/>
  <c r="CJ50" i="97"/>
  <c r="CH51" i="97"/>
  <c r="CZ50" i="100"/>
  <c r="CX51" i="100"/>
  <c r="EF49" i="107"/>
  <c r="ED50" i="107"/>
  <c r="CB50" i="94"/>
  <c r="BZ51" i="94"/>
  <c r="CZ50" i="98"/>
  <c r="CX51" i="98"/>
  <c r="BT49" i="93"/>
  <c r="BR50" i="93"/>
  <c r="CB49" i="95"/>
  <c r="BZ50" i="95"/>
  <c r="CJ49" i="96"/>
  <c r="CH50" i="96"/>
  <c r="BT50" i="61"/>
  <c r="BR51" i="61"/>
  <c r="BT50" i="92"/>
  <c r="BR51" i="92"/>
  <c r="EF49" i="105"/>
  <c r="ED50" i="105"/>
  <c r="CZ50" i="104"/>
  <c r="CX51" i="104"/>
  <c r="CZ50" i="102"/>
  <c r="CX51" i="102"/>
  <c r="AD13" i="20"/>
  <c r="AF13" i="20" s="1"/>
  <c r="AB24" i="20"/>
  <c r="Q30" i="89"/>
  <c r="S10" i="89"/>
  <c r="U10" i="89" s="1"/>
  <c r="V17" i="26"/>
  <c r="ED51" i="106" l="1"/>
  <c r="EF50" i="106"/>
  <c r="CJ51" i="97"/>
  <c r="CH52" i="97"/>
  <c r="ED51" i="107"/>
  <c r="EF50" i="107"/>
  <c r="CZ50" i="101"/>
  <c r="CX51" i="101"/>
  <c r="CZ51" i="100"/>
  <c r="CX52" i="100"/>
  <c r="BR51" i="89"/>
  <c r="BT50" i="89"/>
  <c r="BT50" i="93"/>
  <c r="BR51" i="93"/>
  <c r="CZ51" i="104"/>
  <c r="CX52" i="104"/>
  <c r="BT51" i="92"/>
  <c r="BR52" i="92"/>
  <c r="CJ50" i="96"/>
  <c r="CH51" i="96"/>
  <c r="CZ51" i="102"/>
  <c r="CX52" i="102"/>
  <c r="BT51" i="61"/>
  <c r="BR52" i="61"/>
  <c r="CZ51" i="98"/>
  <c r="CX52" i="98"/>
  <c r="EF50" i="105"/>
  <c r="ED51" i="105"/>
  <c r="CB50" i="95"/>
  <c r="BZ51" i="95"/>
  <c r="CB51" i="94"/>
  <c r="BZ52" i="94"/>
  <c r="AH13" i="20"/>
  <c r="AJ13" i="20" s="1"/>
  <c r="AF24" i="20"/>
  <c r="U30" i="89"/>
  <c r="W10" i="89"/>
  <c r="Y10" i="89" s="1"/>
  <c r="V19" i="26"/>
  <c r="V21" i="26" s="1"/>
  <c r="EF51" i="106" l="1"/>
  <c r="ED52" i="106"/>
  <c r="CZ51" i="101"/>
  <c r="CX52" i="101"/>
  <c r="CX53" i="100"/>
  <c r="CZ52" i="100"/>
  <c r="CH53" i="97"/>
  <c r="CJ52" i="97"/>
  <c r="EF51" i="107"/>
  <c r="ED52" i="107"/>
  <c r="BT51" i="89"/>
  <c r="BR52" i="89"/>
  <c r="CB51" i="95"/>
  <c r="BZ52" i="95"/>
  <c r="CZ52" i="98"/>
  <c r="CX53" i="98"/>
  <c r="CZ52" i="102"/>
  <c r="CX53" i="102"/>
  <c r="CZ52" i="104"/>
  <c r="CX53" i="104"/>
  <c r="BT52" i="61"/>
  <c r="BR53" i="61"/>
  <c r="BT52" i="92"/>
  <c r="BR53" i="92"/>
  <c r="AJ24" i="20"/>
  <c r="AN24" i="20" s="1"/>
  <c r="AL13" i="20"/>
  <c r="EF51" i="105"/>
  <c r="ED52" i="105"/>
  <c r="BT51" i="93"/>
  <c r="BR52" i="93"/>
  <c r="CB52" i="94"/>
  <c r="BZ53" i="94"/>
  <c r="CJ51" i="96"/>
  <c r="CH52" i="96"/>
  <c r="AN13" i="20"/>
  <c r="AN23" i="20" s="1"/>
  <c r="AN27" i="20" s="1"/>
  <c r="AN28" i="20" s="1"/>
  <c r="Y30" i="89"/>
  <c r="AA10" i="89"/>
  <c r="AC10" i="89" s="1"/>
  <c r="V26" i="26"/>
  <c r="Y21" i="26"/>
  <c r="EF52" i="106" l="1"/>
  <c r="ED53" i="106"/>
  <c r="EF52" i="107"/>
  <c r="ED53" i="107"/>
  <c r="CJ53" i="97"/>
  <c r="CH54" i="97"/>
  <c r="BT52" i="89"/>
  <c r="BR53" i="89"/>
  <c r="CZ52" i="101"/>
  <c r="CX53" i="101"/>
  <c r="CX54" i="100"/>
  <c r="CZ53" i="100"/>
  <c r="CZ53" i="104"/>
  <c r="CX54" i="104"/>
  <c r="CB53" i="94"/>
  <c r="BZ54" i="94"/>
  <c r="CZ53" i="102"/>
  <c r="CX54" i="102"/>
  <c r="EF52" i="105"/>
  <c r="ED53" i="105"/>
  <c r="BT52" i="93"/>
  <c r="BR53" i="93"/>
  <c r="CZ53" i="98"/>
  <c r="CX54" i="98"/>
  <c r="AN30" i="20"/>
  <c r="AN31" i="20" s="1"/>
  <c r="AQ26" i="20"/>
  <c r="AS26" i="20" s="1"/>
  <c r="AQ25" i="20"/>
  <c r="BT53" i="92"/>
  <c r="BR54" i="92"/>
  <c r="CJ52" i="96"/>
  <c r="CH53" i="96"/>
  <c r="BT53" i="61"/>
  <c r="BR54" i="61"/>
  <c r="CB52" i="95"/>
  <c r="BZ53" i="95"/>
  <c r="AC30" i="89"/>
  <c r="AE10" i="89"/>
  <c r="AG10" i="89" s="1"/>
  <c r="EF53" i="106" l="1"/>
  <c r="ED54" i="106"/>
  <c r="CJ54" i="97"/>
  <c r="CH55" i="97"/>
  <c r="CJ55" i="97" s="1"/>
  <c r="CZ53" i="101"/>
  <c r="CX54" i="101"/>
  <c r="BT53" i="89"/>
  <c r="BR54" i="89"/>
  <c r="EF53" i="107"/>
  <c r="ED54" i="107"/>
  <c r="CZ54" i="100"/>
  <c r="CX55" i="100"/>
  <c r="CZ55" i="100" s="1"/>
  <c r="BT54" i="61"/>
  <c r="BR55" i="61"/>
  <c r="BT55" i="61" s="1"/>
  <c r="BT53" i="93"/>
  <c r="BR54" i="93"/>
  <c r="CZ54" i="104"/>
  <c r="CX55" i="104"/>
  <c r="CZ55" i="104" s="1"/>
  <c r="EF53" i="105"/>
  <c r="ED54" i="105"/>
  <c r="CZ54" i="102"/>
  <c r="CX55" i="102"/>
  <c r="CZ55" i="102" s="1"/>
  <c r="CZ54" i="98"/>
  <c r="CX55" i="98"/>
  <c r="CZ55" i="98" s="1"/>
  <c r="CB54" i="94"/>
  <c r="BZ55" i="94"/>
  <c r="CB55" i="94" s="1"/>
  <c r="CJ53" i="96"/>
  <c r="CH54" i="96"/>
  <c r="CB53" i="95"/>
  <c r="BZ54" i="95"/>
  <c r="BT54" i="92"/>
  <c r="BR55" i="92"/>
  <c r="BT55" i="92" s="1"/>
  <c r="AI10" i="89"/>
  <c r="AK10" i="89" s="1"/>
  <c r="AN10" i="89" s="1"/>
  <c r="AN29" i="89" s="1"/>
  <c r="AN34" i="89" s="1"/>
  <c r="AG30" i="89"/>
  <c r="ED55" i="106" l="1"/>
  <c r="EF55" i="106" s="1"/>
  <c r="EF54" i="106"/>
  <c r="BR55" i="89"/>
  <c r="BT55" i="89" s="1"/>
  <c r="BT54" i="89"/>
  <c r="CZ54" i="101"/>
  <c r="CX55" i="101"/>
  <c r="CZ55" i="101" s="1"/>
  <c r="EF54" i="107"/>
  <c r="ED55" i="107"/>
  <c r="EF55" i="107" s="1"/>
  <c r="CJ54" i="96"/>
  <c r="CH55" i="96"/>
  <c r="CJ55" i="96" s="1"/>
  <c r="EF54" i="105"/>
  <c r="ED55" i="105"/>
  <c r="EF55" i="105" s="1"/>
  <c r="BT54" i="93"/>
  <c r="BR55" i="93"/>
  <c r="BT55" i="93" s="1"/>
  <c r="CB54" i="95"/>
  <c r="BZ55" i="95"/>
  <c r="CB55" i="95" s="1"/>
  <c r="AQ31" i="89"/>
  <c r="L72" i="89"/>
  <c r="M72" i="89" s="1"/>
  <c r="Q72" i="89" s="1"/>
  <c r="AN48" i="89"/>
  <c r="AQ32" i="89"/>
  <c r="AS32" i="89" s="1"/>
  <c r="AK30" i="89"/>
  <c r="AN30" i="89" s="1"/>
  <c r="AM10" i="89"/>
  <c r="AQ10" i="89" s="1"/>
  <c r="AQ29" i="89" s="1"/>
  <c r="AS29" i="89" s="1"/>
  <c r="AT29" i="89" s="1"/>
  <c r="AN46" i="92" s="1"/>
  <c r="AN47" i="92" s="1"/>
  <c r="E8" i="92" l="1"/>
  <c r="AP32" i="92"/>
  <c r="AS48" i="89"/>
  <c r="AS50" i="89" s="1"/>
  <c r="AS57" i="89" s="1"/>
  <c r="AT57" i="89" s="1"/>
  <c r="AT58" i="89" s="1"/>
  <c r="AS56" i="89" s="1"/>
  <c r="AS60" i="89"/>
  <c r="AX47" i="89" s="1"/>
  <c r="AV36" i="89" s="1"/>
  <c r="S72" i="89"/>
  <c r="U72" i="89" s="1"/>
  <c r="AN56" i="89"/>
  <c r="AN49" i="89"/>
  <c r="AN79" i="89" l="1"/>
  <c r="E7" i="108" s="1"/>
  <c r="AN78" i="89"/>
  <c r="E6" i="109" s="1"/>
  <c r="E51" i="92"/>
  <c r="AN32" i="92"/>
  <c r="E11" i="92"/>
  <c r="AS61" i="89"/>
  <c r="AV48" i="89"/>
  <c r="AN66" i="89"/>
  <c r="AN72" i="89"/>
  <c r="AN60" i="89"/>
  <c r="AN69" i="89"/>
  <c r="AN76" i="89"/>
  <c r="AN61" i="89"/>
  <c r="AN70" i="89"/>
  <c r="AN81" i="89"/>
  <c r="AO65" i="89"/>
  <c r="AO82" i="89" s="1"/>
  <c r="AN74" i="89"/>
  <c r="AN67" i="89"/>
  <c r="AN63" i="89"/>
  <c r="AN68" i="89"/>
  <c r="AN80" i="89"/>
  <c r="AN59" i="89"/>
  <c r="AN71" i="89"/>
  <c r="AN58" i="89"/>
  <c r="BU25" i="89" s="1"/>
  <c r="BU26" i="89" s="1"/>
  <c r="BU27" i="89" s="1"/>
  <c r="BU28" i="89" s="1"/>
  <c r="BU29" i="89" s="1"/>
  <c r="BU30" i="89" s="1"/>
  <c r="BU31" i="89" s="1"/>
  <c r="BU32" i="89" s="1"/>
  <c r="BU33" i="89" s="1"/>
  <c r="BU34" i="89" s="1"/>
  <c r="BU35" i="89" s="1"/>
  <c r="BU36" i="89" s="1"/>
  <c r="BU37" i="89" s="1"/>
  <c r="BU38" i="89" s="1"/>
  <c r="BU39" i="89" s="1"/>
  <c r="BU40" i="89" s="1"/>
  <c r="BU41" i="89" s="1"/>
  <c r="BU42" i="89" s="1"/>
  <c r="BU43" i="89" s="1"/>
  <c r="BU44" i="89" s="1"/>
  <c r="BU45" i="89" s="1"/>
  <c r="BU46" i="89" s="1"/>
  <c r="BU47" i="89" s="1"/>
  <c r="BU48" i="89" s="1"/>
  <c r="BU49" i="89" s="1"/>
  <c r="BU50" i="89" s="1"/>
  <c r="BU51" i="89" s="1"/>
  <c r="BU52" i="89" s="1"/>
  <c r="BU53" i="89" s="1"/>
  <c r="BU54" i="89" s="1"/>
  <c r="BU55" i="89" s="1"/>
  <c r="AN75" i="89"/>
  <c r="AN73" i="89"/>
  <c r="AN77" i="89"/>
  <c r="E6" i="110" s="1"/>
  <c r="AN62" i="89"/>
  <c r="E21" i="92" l="1"/>
  <c r="E17" i="92"/>
  <c r="G17" i="92" s="1"/>
  <c r="E14" i="92"/>
  <c r="E5" i="92"/>
  <c r="G5" i="92" s="1"/>
  <c r="AN85" i="89"/>
  <c r="AO83" i="89"/>
  <c r="AN83" i="89" s="1"/>
  <c r="Y72" i="89"/>
  <c r="AA72" i="89" s="1"/>
  <c r="AN87" i="89" s="1"/>
  <c r="G10" i="92" l="1"/>
  <c r="G12" i="92"/>
  <c r="E57" i="92"/>
  <c r="G14" i="92"/>
  <c r="I5" i="92"/>
  <c r="K5" i="92" s="1"/>
  <c r="M5" i="92" s="1"/>
  <c r="O5" i="92" s="1"/>
  <c r="Q5" i="92" s="1"/>
  <c r="S5" i="92" s="1"/>
  <c r="U5" i="92" s="1"/>
  <c r="W5" i="92" s="1"/>
  <c r="Y5" i="92" s="1"/>
  <c r="AA5" i="92" s="1"/>
  <c r="AC5" i="92" s="1"/>
  <c r="AE5" i="92" s="1"/>
  <c r="AG5" i="92" s="1"/>
  <c r="AI5" i="92" s="1"/>
  <c r="AK5" i="92" s="1"/>
  <c r="AM5" i="92" s="1"/>
  <c r="AQ5" i="92" s="1"/>
  <c r="AT28" i="92" s="1"/>
  <c r="I17" i="92"/>
  <c r="K17" i="92" s="1"/>
  <c r="M17" i="92" s="1"/>
  <c r="O17" i="92" s="1"/>
  <c r="Q17" i="92" s="1"/>
  <c r="S17" i="92" s="1"/>
  <c r="U17" i="92" s="1"/>
  <c r="W17" i="92" s="1"/>
  <c r="Y17" i="92" s="1"/>
  <c r="AA17" i="92" s="1"/>
  <c r="AC17" i="92" s="1"/>
  <c r="AE17" i="92" s="1"/>
  <c r="AG17" i="92" s="1"/>
  <c r="AI17" i="92" s="1"/>
  <c r="AK17" i="92" s="1"/>
  <c r="AM17" i="92" s="1"/>
  <c r="AQ17" i="92" s="1"/>
  <c r="G25" i="92"/>
  <c r="E63" i="92"/>
  <c r="G27" i="92"/>
  <c r="G21" i="92"/>
  <c r="G23" i="92"/>
  <c r="AN84" i="89"/>
  <c r="AO84" i="89"/>
  <c r="AA78" i="89"/>
  <c r="AA76" i="89"/>
  <c r="AN5" i="92" l="1"/>
  <c r="I23" i="92"/>
  <c r="K23" i="92" s="1"/>
  <c r="M23" i="92" s="1"/>
  <c r="O23" i="92" s="1"/>
  <c r="Q23" i="92" s="1"/>
  <c r="S23" i="92" s="1"/>
  <c r="U23" i="92" s="1"/>
  <c r="W23" i="92" s="1"/>
  <c r="Y23" i="92" s="1"/>
  <c r="AA23" i="92" s="1"/>
  <c r="AC23" i="92" s="1"/>
  <c r="AE23" i="92" s="1"/>
  <c r="AG23" i="92" s="1"/>
  <c r="AI23" i="92" s="1"/>
  <c r="AK23" i="92" s="1"/>
  <c r="AM23" i="92" s="1"/>
  <c r="AQ23" i="92" s="1"/>
  <c r="I21" i="92"/>
  <c r="K21" i="92" s="1"/>
  <c r="M21" i="92" s="1"/>
  <c r="O21" i="92" s="1"/>
  <c r="Q21" i="92" s="1"/>
  <c r="S21" i="92" s="1"/>
  <c r="U21" i="92" s="1"/>
  <c r="W21" i="92" s="1"/>
  <c r="Y21" i="92" s="1"/>
  <c r="AA21" i="92" s="1"/>
  <c r="AC21" i="92" s="1"/>
  <c r="AE21" i="92" s="1"/>
  <c r="AG21" i="92" s="1"/>
  <c r="AI21" i="92" s="1"/>
  <c r="AK21" i="92" s="1"/>
  <c r="AM21" i="92" s="1"/>
  <c r="AQ21" i="92" s="1"/>
  <c r="G55" i="92"/>
  <c r="I55" i="92" s="1"/>
  <c r="K55" i="92" s="1"/>
  <c r="G53" i="92"/>
  <c r="D57" i="92"/>
  <c r="G57" i="92"/>
  <c r="I57" i="92" s="1"/>
  <c r="K57" i="92" s="1"/>
  <c r="I14" i="92"/>
  <c r="K14" i="92" s="1"/>
  <c r="M14" i="92" s="1"/>
  <c r="O14" i="92" s="1"/>
  <c r="Q14" i="92" s="1"/>
  <c r="S14" i="92" s="1"/>
  <c r="U14" i="92" s="1"/>
  <c r="W14" i="92" s="1"/>
  <c r="Y14" i="92" s="1"/>
  <c r="AA14" i="92" s="1"/>
  <c r="AC14" i="92" s="1"/>
  <c r="AE14" i="92" s="1"/>
  <c r="AG14" i="92" s="1"/>
  <c r="AI14" i="92" s="1"/>
  <c r="AK14" i="92" s="1"/>
  <c r="AM14" i="92" s="1"/>
  <c r="AQ14" i="92" s="1"/>
  <c r="I27" i="92"/>
  <c r="K27" i="92" s="1"/>
  <c r="M27" i="92" s="1"/>
  <c r="O27" i="92" s="1"/>
  <c r="Q27" i="92" s="1"/>
  <c r="S27" i="92" s="1"/>
  <c r="U27" i="92" s="1"/>
  <c r="W27" i="92" s="1"/>
  <c r="Y27" i="92" s="1"/>
  <c r="AA27" i="92" s="1"/>
  <c r="AC27" i="92" s="1"/>
  <c r="AE27" i="92" s="1"/>
  <c r="AG27" i="92" s="1"/>
  <c r="AI27" i="92" s="1"/>
  <c r="AK27" i="92" s="1"/>
  <c r="AM27" i="92" s="1"/>
  <c r="AQ27" i="92" s="1"/>
  <c r="G63" i="92"/>
  <c r="I63" i="92" s="1"/>
  <c r="K63" i="92" s="1"/>
  <c r="D63" i="92"/>
  <c r="G67" i="92"/>
  <c r="I67" i="92" s="1"/>
  <c r="K67" i="92" s="1"/>
  <c r="G65" i="92"/>
  <c r="I65" i="92" s="1"/>
  <c r="K65" i="92" s="1"/>
  <c r="G69" i="92"/>
  <c r="I69" i="92" s="1"/>
  <c r="K69" i="92" s="1"/>
  <c r="I12" i="92"/>
  <c r="K12" i="92" s="1"/>
  <c r="M12" i="92" s="1"/>
  <c r="O12" i="92" s="1"/>
  <c r="Q12" i="92" s="1"/>
  <c r="S12" i="92" s="1"/>
  <c r="U12" i="92" s="1"/>
  <c r="W12" i="92" s="1"/>
  <c r="Y12" i="92" s="1"/>
  <c r="AA12" i="92" s="1"/>
  <c r="AC12" i="92" s="1"/>
  <c r="AE12" i="92" s="1"/>
  <c r="AG12" i="92" s="1"/>
  <c r="AI12" i="92" s="1"/>
  <c r="AK12" i="92" s="1"/>
  <c r="AM12" i="92" s="1"/>
  <c r="AQ12" i="92" s="1"/>
  <c r="AN17" i="92"/>
  <c r="I25" i="92"/>
  <c r="K25" i="92" s="1"/>
  <c r="M25" i="92" s="1"/>
  <c r="O25" i="92" s="1"/>
  <c r="Q25" i="92" s="1"/>
  <c r="S25" i="92" s="1"/>
  <c r="U25" i="92" s="1"/>
  <c r="W25" i="92" s="1"/>
  <c r="Y25" i="92" s="1"/>
  <c r="AA25" i="92" s="1"/>
  <c r="AC25" i="92" s="1"/>
  <c r="AE25" i="92" s="1"/>
  <c r="AG25" i="92" s="1"/>
  <c r="AI25" i="92" s="1"/>
  <c r="AK25" i="92" s="1"/>
  <c r="AM25" i="92" s="1"/>
  <c r="AQ25" i="92" s="1"/>
  <c r="G30" i="92"/>
  <c r="I10" i="92"/>
  <c r="AN12" i="92" l="1"/>
  <c r="AN25" i="92"/>
  <c r="I53" i="92"/>
  <c r="AN27" i="92"/>
  <c r="AN21" i="92"/>
  <c r="D60" i="92"/>
  <c r="E60" i="92" s="1"/>
  <c r="G60" i="92" s="1"/>
  <c r="I60" i="92" s="1"/>
  <c r="K60" i="92" s="1"/>
  <c r="AN14" i="92"/>
  <c r="AN23" i="92"/>
  <c r="K10" i="92"/>
  <c r="M10" i="92" s="1"/>
  <c r="I30" i="92"/>
  <c r="K53" i="92" l="1"/>
  <c r="K72" i="92" s="1"/>
  <c r="I72" i="92"/>
  <c r="M30" i="92"/>
  <c r="O10" i="92"/>
  <c r="Q10" i="92" s="1"/>
  <c r="D66" i="92"/>
  <c r="G72" i="92"/>
  <c r="Q30" i="92" l="1"/>
  <c r="S10" i="92"/>
  <c r="U10" i="92" s="1"/>
  <c r="U30" i="92" l="1"/>
  <c r="W10" i="92"/>
  <c r="Y10" i="92" s="1"/>
  <c r="AA10" i="92" l="1"/>
  <c r="AC10" i="92" s="1"/>
  <c r="Y30" i="92"/>
  <c r="AE10" i="92" l="1"/>
  <c r="AG10" i="92" s="1"/>
  <c r="AC30" i="92"/>
  <c r="AI10" i="92" l="1"/>
  <c r="AK10" i="92" s="1"/>
  <c r="AG30" i="92"/>
  <c r="AM10" i="92" l="1"/>
  <c r="AQ10" i="92" s="1"/>
  <c r="AQ29" i="92" s="1"/>
  <c r="AS29" i="92" s="1"/>
  <c r="AT29" i="92" s="1"/>
  <c r="AN46" i="93" s="1"/>
  <c r="AN47" i="93" s="1"/>
  <c r="AK30" i="92"/>
  <c r="AN30" i="92" s="1"/>
  <c r="AN10" i="92"/>
  <c r="AN29" i="92" s="1"/>
  <c r="AN33" i="92" s="1"/>
  <c r="AN34" i="92" s="1"/>
  <c r="AP32" i="93" l="1"/>
  <c r="E8" i="93"/>
  <c r="L72" i="92"/>
  <c r="M72" i="92" s="1"/>
  <c r="AQ31" i="92"/>
  <c r="AN48" i="92"/>
  <c r="AQ32" i="92"/>
  <c r="AS32" i="92" s="1"/>
  <c r="S72" i="92" l="1"/>
  <c r="Q72" i="92"/>
  <c r="AN49" i="92"/>
  <c r="AP39" i="92" s="1"/>
  <c r="AN56" i="92"/>
  <c r="E11" i="93"/>
  <c r="E51" i="93"/>
  <c r="AN32" i="93"/>
  <c r="AS48" i="92"/>
  <c r="AS50" i="92" s="1"/>
  <c r="AS57" i="92" s="1"/>
  <c r="AT57" i="92" s="1"/>
  <c r="AT58" i="92" s="1"/>
  <c r="AS56" i="92" s="1"/>
  <c r="AS60" i="92"/>
  <c r="AX47" i="92" s="1"/>
  <c r="AV36" i="92" s="1"/>
  <c r="U72" i="92" l="1"/>
  <c r="E14" i="93"/>
  <c r="E21" i="93"/>
  <c r="E5" i="93"/>
  <c r="G5" i="93" s="1"/>
  <c r="E17" i="93"/>
  <c r="G17" i="93" s="1"/>
  <c r="AN78" i="92"/>
  <c r="E7" i="109" s="1"/>
  <c r="AN79" i="92"/>
  <c r="E8" i="108" s="1"/>
  <c r="AN58" i="92"/>
  <c r="BU25" i="92" s="1"/>
  <c r="BU26" i="92" s="1"/>
  <c r="BU27" i="92" s="1"/>
  <c r="BU28" i="92" s="1"/>
  <c r="BU29" i="92" s="1"/>
  <c r="BU30" i="92" s="1"/>
  <c r="BU31" i="92" s="1"/>
  <c r="BU32" i="92" s="1"/>
  <c r="BU33" i="92" s="1"/>
  <c r="BU34" i="92" s="1"/>
  <c r="BU35" i="92" s="1"/>
  <c r="BU36" i="92" s="1"/>
  <c r="BU37" i="92" s="1"/>
  <c r="BU38" i="92" s="1"/>
  <c r="BU39" i="92" s="1"/>
  <c r="BU40" i="92" s="1"/>
  <c r="BU41" i="92" s="1"/>
  <c r="BU42" i="92" s="1"/>
  <c r="BU43" i="92" s="1"/>
  <c r="BU44" i="92" s="1"/>
  <c r="BU45" i="92" s="1"/>
  <c r="BU46" i="92" s="1"/>
  <c r="BU47" i="92" s="1"/>
  <c r="BU48" i="92" s="1"/>
  <c r="BU49" i="92" s="1"/>
  <c r="BU50" i="92" s="1"/>
  <c r="BU51" i="92" s="1"/>
  <c r="BU52" i="92" s="1"/>
  <c r="BU53" i="92" s="1"/>
  <c r="BU54" i="92" s="1"/>
  <c r="BU55" i="92" s="1"/>
  <c r="AN59" i="92"/>
  <c r="AN71" i="92"/>
  <c r="AN66" i="92"/>
  <c r="AN81" i="92"/>
  <c r="AN77" i="92"/>
  <c r="E7" i="110" s="1"/>
  <c r="AN60" i="92"/>
  <c r="AN75" i="92"/>
  <c r="AN62" i="92"/>
  <c r="AN80" i="92"/>
  <c r="AO65" i="92"/>
  <c r="AO82" i="92" s="1"/>
  <c r="AN70" i="92"/>
  <c r="AN73" i="92"/>
  <c r="AN67" i="92"/>
  <c r="AN61" i="92"/>
  <c r="AN63" i="92"/>
  <c r="AN72" i="92"/>
  <c r="AN74" i="92"/>
  <c r="AN69" i="92"/>
  <c r="AN68" i="92"/>
  <c r="AN76" i="92"/>
  <c r="AS61" i="92"/>
  <c r="AV48" i="92"/>
  <c r="AO83" i="92" l="1"/>
  <c r="AN83" i="92" s="1"/>
  <c r="AN84" i="92" s="1"/>
  <c r="Y72" i="92"/>
  <c r="AA72" i="92" s="1"/>
  <c r="AN85" i="92"/>
  <c r="I5" i="93"/>
  <c r="K5" i="93" s="1"/>
  <c r="M5" i="93" s="1"/>
  <c r="O5" i="93" s="1"/>
  <c r="Q5" i="93" s="1"/>
  <c r="S5" i="93" s="1"/>
  <c r="U5" i="93" s="1"/>
  <c r="W5" i="93" s="1"/>
  <c r="Y5" i="93" s="1"/>
  <c r="AA5" i="93" s="1"/>
  <c r="AC5" i="93" s="1"/>
  <c r="AE5" i="93" s="1"/>
  <c r="AG5" i="93" s="1"/>
  <c r="AI5" i="93" s="1"/>
  <c r="AK5" i="93" s="1"/>
  <c r="AM5" i="93" s="1"/>
  <c r="AQ5" i="93" s="1"/>
  <c r="AT28" i="93" s="1"/>
  <c r="I17" i="93"/>
  <c r="K17" i="93" s="1"/>
  <c r="M17" i="93" s="1"/>
  <c r="O17" i="93" s="1"/>
  <c r="Q17" i="93" s="1"/>
  <c r="S17" i="93" s="1"/>
  <c r="U17" i="93" s="1"/>
  <c r="W17" i="93" s="1"/>
  <c r="Y17" i="93" s="1"/>
  <c r="AA17" i="93" s="1"/>
  <c r="AC17" i="93" s="1"/>
  <c r="AE17" i="93" s="1"/>
  <c r="AG17" i="93" s="1"/>
  <c r="AI17" i="93" s="1"/>
  <c r="AK17" i="93" s="1"/>
  <c r="AM17" i="93" s="1"/>
  <c r="AQ17" i="93" s="1"/>
  <c r="G21" i="93"/>
  <c r="G23" i="93"/>
  <c r="G25" i="93"/>
  <c r="G27" i="93"/>
  <c r="E63" i="93"/>
  <c r="G12" i="93"/>
  <c r="E57" i="93"/>
  <c r="G14" i="93"/>
  <c r="G10" i="93"/>
  <c r="I10" i="93" l="1"/>
  <c r="G30" i="93"/>
  <c r="AN17" i="93"/>
  <c r="I12" i="93"/>
  <c r="K12" i="93" s="1"/>
  <c r="M12" i="93" s="1"/>
  <c r="O12" i="93" s="1"/>
  <c r="Q12" i="93" s="1"/>
  <c r="S12" i="93" s="1"/>
  <c r="U12" i="93" s="1"/>
  <c r="W12" i="93" s="1"/>
  <c r="Y12" i="93" s="1"/>
  <c r="AA12" i="93" s="1"/>
  <c r="AC12" i="93" s="1"/>
  <c r="AE12" i="93" s="1"/>
  <c r="AG12" i="93" s="1"/>
  <c r="AI12" i="93" s="1"/>
  <c r="AK12" i="93" s="1"/>
  <c r="AM12" i="93" s="1"/>
  <c r="AQ12" i="93" s="1"/>
  <c r="I21" i="93"/>
  <c r="K21" i="93" s="1"/>
  <c r="M21" i="93" s="1"/>
  <c r="O21" i="93" s="1"/>
  <c r="Q21" i="93" s="1"/>
  <c r="S21" i="93" s="1"/>
  <c r="U21" i="93" s="1"/>
  <c r="W21" i="93" s="1"/>
  <c r="Y21" i="93" s="1"/>
  <c r="AA21" i="93" s="1"/>
  <c r="AC21" i="93" s="1"/>
  <c r="AE21" i="93" s="1"/>
  <c r="AG21" i="93" s="1"/>
  <c r="AI21" i="93" s="1"/>
  <c r="AK21" i="93" s="1"/>
  <c r="AM21" i="93" s="1"/>
  <c r="AQ21" i="93" s="1"/>
  <c r="I14" i="93"/>
  <c r="K14" i="93" s="1"/>
  <c r="M14" i="93" s="1"/>
  <c r="O14" i="93" s="1"/>
  <c r="Q14" i="93" s="1"/>
  <c r="S14" i="93" s="1"/>
  <c r="U14" i="93" s="1"/>
  <c r="W14" i="93" s="1"/>
  <c r="Y14" i="93" s="1"/>
  <c r="AA14" i="93" s="1"/>
  <c r="AC14" i="93" s="1"/>
  <c r="AE14" i="93" s="1"/>
  <c r="AG14" i="93" s="1"/>
  <c r="AI14" i="93" s="1"/>
  <c r="AK14" i="93" s="1"/>
  <c r="AM14" i="93" s="1"/>
  <c r="AQ14" i="93" s="1"/>
  <c r="G55" i="93"/>
  <c r="I55" i="93" s="1"/>
  <c r="K55" i="93" s="1"/>
  <c r="D57" i="93"/>
  <c r="G53" i="93"/>
  <c r="G57" i="93"/>
  <c r="I57" i="93" s="1"/>
  <c r="K57" i="93" s="1"/>
  <c r="AN5" i="93"/>
  <c r="G67" i="93"/>
  <c r="I67" i="93" s="1"/>
  <c r="K67" i="93" s="1"/>
  <c r="G65" i="93"/>
  <c r="I65" i="93" s="1"/>
  <c r="K65" i="93" s="1"/>
  <c r="D63" i="93"/>
  <c r="G63" i="93"/>
  <c r="I63" i="93" s="1"/>
  <c r="K63" i="93" s="1"/>
  <c r="G69" i="93"/>
  <c r="I69" i="93" s="1"/>
  <c r="K69" i="93" s="1"/>
  <c r="I27" i="93"/>
  <c r="K27" i="93" s="1"/>
  <c r="M27" i="93" s="1"/>
  <c r="O27" i="93" s="1"/>
  <c r="Q27" i="93" s="1"/>
  <c r="S27" i="93" s="1"/>
  <c r="U27" i="93" s="1"/>
  <c r="W27" i="93" s="1"/>
  <c r="Y27" i="93" s="1"/>
  <c r="AA27" i="93" s="1"/>
  <c r="AC27" i="93" s="1"/>
  <c r="AE27" i="93" s="1"/>
  <c r="AG27" i="93" s="1"/>
  <c r="AI27" i="93" s="1"/>
  <c r="AK27" i="93" s="1"/>
  <c r="AM27" i="93" s="1"/>
  <c r="AQ27" i="93" s="1"/>
  <c r="I25" i="93"/>
  <c r="K25" i="93" s="1"/>
  <c r="M25" i="93" s="1"/>
  <c r="O25" i="93" s="1"/>
  <c r="Q25" i="93" s="1"/>
  <c r="S25" i="93" s="1"/>
  <c r="U25" i="93" s="1"/>
  <c r="W25" i="93" s="1"/>
  <c r="Y25" i="93" s="1"/>
  <c r="AA25" i="93" s="1"/>
  <c r="AC25" i="93" s="1"/>
  <c r="AE25" i="93" s="1"/>
  <c r="AG25" i="93" s="1"/>
  <c r="AI25" i="93" s="1"/>
  <c r="AK25" i="93" s="1"/>
  <c r="AM25" i="93" s="1"/>
  <c r="AQ25" i="93" s="1"/>
  <c r="AA76" i="92"/>
  <c r="AA80" i="92"/>
  <c r="I23" i="93"/>
  <c r="K23" i="93" s="1"/>
  <c r="M23" i="93" s="1"/>
  <c r="O23" i="93" s="1"/>
  <c r="Q23" i="93" s="1"/>
  <c r="S23" i="93" s="1"/>
  <c r="U23" i="93" s="1"/>
  <c r="W23" i="93" s="1"/>
  <c r="Y23" i="93" s="1"/>
  <c r="AA23" i="93" s="1"/>
  <c r="AC23" i="93" s="1"/>
  <c r="AE23" i="93" s="1"/>
  <c r="AG23" i="93" s="1"/>
  <c r="AI23" i="93" s="1"/>
  <c r="AK23" i="93" s="1"/>
  <c r="AM23" i="93" s="1"/>
  <c r="AQ23" i="93" s="1"/>
  <c r="AO84" i="92"/>
  <c r="AN12" i="93" l="1"/>
  <c r="AN25" i="93"/>
  <c r="AN21" i="93"/>
  <c r="AN27" i="93"/>
  <c r="D60" i="93"/>
  <c r="E60" i="93" s="1"/>
  <c r="G60" i="93" s="1"/>
  <c r="I60" i="93" s="1"/>
  <c r="K60" i="93" s="1"/>
  <c r="AN23" i="93"/>
  <c r="I53" i="93"/>
  <c r="AN14" i="93"/>
  <c r="K10" i="93"/>
  <c r="M10" i="93" s="1"/>
  <c r="I30" i="93"/>
  <c r="D66" i="93" l="1"/>
  <c r="O10" i="93"/>
  <c r="Q10" i="93" s="1"/>
  <c r="M30" i="93"/>
  <c r="K53" i="93"/>
  <c r="K72" i="93" s="1"/>
  <c r="I72" i="93"/>
  <c r="G72" i="93"/>
  <c r="Q30" i="93" l="1"/>
  <c r="S10" i="93"/>
  <c r="U10" i="93" s="1"/>
  <c r="U30" i="93" l="1"/>
  <c r="W10" i="93"/>
  <c r="Y10" i="93" s="1"/>
  <c r="Y30" i="93" l="1"/>
  <c r="AA10" i="93"/>
  <c r="AC10" i="93" s="1"/>
  <c r="AC30" i="93" l="1"/>
  <c r="AE10" i="93"/>
  <c r="AG10" i="93" s="1"/>
  <c r="AI10" i="93" l="1"/>
  <c r="AK10" i="93" s="1"/>
  <c r="AG30" i="93"/>
  <c r="AK30" i="93" l="1"/>
  <c r="AN30" i="93" s="1"/>
  <c r="AM10" i="93"/>
  <c r="AQ10" i="93" s="1"/>
  <c r="AQ29" i="93" s="1"/>
  <c r="AS29" i="93" s="1"/>
  <c r="AT29" i="93" s="1"/>
  <c r="AV46" i="94" s="1"/>
  <c r="AV47" i="94" s="1"/>
  <c r="AN10" i="93"/>
  <c r="AN29" i="93" s="1"/>
  <c r="AN33" i="93" s="1"/>
  <c r="AN34" i="93" s="1"/>
  <c r="AQ31" i="93" l="1"/>
  <c r="L72" i="93"/>
  <c r="M72" i="93" s="1"/>
  <c r="AN48" i="93"/>
  <c r="AQ32" i="93"/>
  <c r="AS32" i="93" s="1"/>
  <c r="AX32" i="94"/>
  <c r="E8" i="94"/>
  <c r="E51" i="94" l="1"/>
  <c r="AV32" i="94"/>
  <c r="E11" i="94"/>
  <c r="S72" i="93"/>
  <c r="Q72" i="93"/>
  <c r="AS60" i="93"/>
  <c r="AX47" i="93" s="1"/>
  <c r="AV36" i="93" s="1"/>
  <c r="AS48" i="93"/>
  <c r="AS50" i="93" s="1"/>
  <c r="AS57" i="93" s="1"/>
  <c r="AT57" i="93" s="1"/>
  <c r="AT58" i="93" s="1"/>
  <c r="AS56" i="93" s="1"/>
  <c r="AN49" i="93"/>
  <c r="AP39" i="93" s="1"/>
  <c r="AN56" i="93"/>
  <c r="AN78" i="93" l="1"/>
  <c r="AN79" i="93"/>
  <c r="U72" i="93"/>
  <c r="AN72" i="93"/>
  <c r="AN77" i="93"/>
  <c r="AN66" i="93"/>
  <c r="AN70" i="93"/>
  <c r="AN71" i="93"/>
  <c r="AN58" i="93"/>
  <c r="BU25" i="93" s="1"/>
  <c r="BU26" i="93" s="1"/>
  <c r="BU27" i="93" s="1"/>
  <c r="BU28" i="93" s="1"/>
  <c r="BU29" i="93" s="1"/>
  <c r="BU30" i="93" s="1"/>
  <c r="BU31" i="93" s="1"/>
  <c r="BU32" i="93" s="1"/>
  <c r="BU33" i="93" s="1"/>
  <c r="BU34" i="93" s="1"/>
  <c r="BU35" i="93" s="1"/>
  <c r="BU36" i="93" s="1"/>
  <c r="BU37" i="93" s="1"/>
  <c r="BU38" i="93" s="1"/>
  <c r="BU39" i="93" s="1"/>
  <c r="BU40" i="93" s="1"/>
  <c r="BU41" i="93" s="1"/>
  <c r="BU42" i="93" s="1"/>
  <c r="BU43" i="93" s="1"/>
  <c r="BU44" i="93" s="1"/>
  <c r="BU45" i="93" s="1"/>
  <c r="BU46" i="93" s="1"/>
  <c r="BU47" i="93" s="1"/>
  <c r="BU48" i="93" s="1"/>
  <c r="BU49" i="93" s="1"/>
  <c r="BU50" i="93" s="1"/>
  <c r="BU51" i="93" s="1"/>
  <c r="BU52" i="93" s="1"/>
  <c r="BU53" i="93" s="1"/>
  <c r="BU54" i="93" s="1"/>
  <c r="BU55" i="93" s="1"/>
  <c r="AN69" i="93"/>
  <c r="AN63" i="93"/>
  <c r="AN74" i="93"/>
  <c r="AO65" i="93"/>
  <c r="AO82" i="93" s="1"/>
  <c r="AN75" i="93"/>
  <c r="AN61" i="93"/>
  <c r="AN73" i="93"/>
  <c r="AN68" i="93"/>
  <c r="AN62" i="93"/>
  <c r="AN76" i="93"/>
  <c r="AN81" i="93"/>
  <c r="AN59" i="93"/>
  <c r="AN60" i="93"/>
  <c r="AN80" i="93"/>
  <c r="AN67" i="93"/>
  <c r="AS61" i="93"/>
  <c r="AV48" i="93"/>
  <c r="E5" i="94"/>
  <c r="G5" i="94" s="1"/>
  <c r="E17" i="94"/>
  <c r="G17" i="94" s="1"/>
  <c r="E21" i="94"/>
  <c r="E14" i="94"/>
  <c r="E9" i="110" l="1"/>
  <c r="E8" i="110"/>
  <c r="E9" i="108"/>
  <c r="E10" i="108"/>
  <c r="E9" i="109"/>
  <c r="E8" i="109"/>
  <c r="AO83" i="93"/>
  <c r="AN83" i="93" s="1"/>
  <c r="AN84" i="93" s="1"/>
  <c r="I5" i="94"/>
  <c r="K5" i="94" s="1"/>
  <c r="M5" i="94" s="1"/>
  <c r="O5" i="94" s="1"/>
  <c r="Q5" i="94" s="1"/>
  <c r="S5" i="94" s="1"/>
  <c r="U5" i="94" s="1"/>
  <c r="W5" i="94" s="1"/>
  <c r="Y5" i="94" s="1"/>
  <c r="AA5" i="94" s="1"/>
  <c r="G21" i="94"/>
  <c r="G25" i="94"/>
  <c r="G27" i="94"/>
  <c r="E63" i="94"/>
  <c r="G23" i="94"/>
  <c r="Y72" i="93"/>
  <c r="AA72" i="93" s="1"/>
  <c r="AN85" i="93"/>
  <c r="I17" i="94"/>
  <c r="K17" i="94" s="1"/>
  <c r="M17" i="94" s="1"/>
  <c r="O17" i="94" s="1"/>
  <c r="Q17" i="94" s="1"/>
  <c r="S17" i="94" s="1"/>
  <c r="U17" i="94" s="1"/>
  <c r="W17" i="94" s="1"/>
  <c r="Y17" i="94" s="1"/>
  <c r="AA17" i="94" s="1"/>
  <c r="AC17" i="94" s="1"/>
  <c r="AE17" i="94" s="1"/>
  <c r="G14" i="94"/>
  <c r="G10" i="94"/>
  <c r="G12" i="94"/>
  <c r="E57" i="94"/>
  <c r="AC5" i="94" l="1"/>
  <c r="AG17" i="94"/>
  <c r="AI17" i="94" s="1"/>
  <c r="I23" i="94"/>
  <c r="K23" i="94" s="1"/>
  <c r="M23" i="94" s="1"/>
  <c r="O23" i="94" s="1"/>
  <c r="Q23" i="94" s="1"/>
  <c r="S23" i="94" s="1"/>
  <c r="U23" i="94" s="1"/>
  <c r="W23" i="94" s="1"/>
  <c r="Y23" i="94" s="1"/>
  <c r="AA23" i="94" s="1"/>
  <c r="AC23" i="94" s="1"/>
  <c r="AE23" i="94" s="1"/>
  <c r="I12" i="94"/>
  <c r="K12" i="94" s="1"/>
  <c r="M12" i="94" s="1"/>
  <c r="O12" i="94" s="1"/>
  <c r="Q12" i="94" s="1"/>
  <c r="S12" i="94" s="1"/>
  <c r="U12" i="94" s="1"/>
  <c r="W12" i="94" s="1"/>
  <c r="Y12" i="94" s="1"/>
  <c r="AA12" i="94" s="1"/>
  <c r="AC12" i="94" s="1"/>
  <c r="AE12" i="94" s="1"/>
  <c r="G65" i="94"/>
  <c r="I65" i="94" s="1"/>
  <c r="K65" i="94" s="1"/>
  <c r="G67" i="94"/>
  <c r="I67" i="94" s="1"/>
  <c r="K67" i="94" s="1"/>
  <c r="G63" i="94"/>
  <c r="I63" i="94" s="1"/>
  <c r="K63" i="94" s="1"/>
  <c r="G69" i="94"/>
  <c r="I69" i="94" s="1"/>
  <c r="K69" i="94" s="1"/>
  <c r="D63" i="94"/>
  <c r="I27" i="94"/>
  <c r="K27" i="94" s="1"/>
  <c r="M27" i="94" s="1"/>
  <c r="O27" i="94" s="1"/>
  <c r="Q27" i="94" s="1"/>
  <c r="S27" i="94" s="1"/>
  <c r="U27" i="94" s="1"/>
  <c r="W27" i="94" s="1"/>
  <c r="Y27" i="94" s="1"/>
  <c r="AA27" i="94" s="1"/>
  <c r="AC27" i="94" s="1"/>
  <c r="AE27" i="94" s="1"/>
  <c r="I25" i="94"/>
  <c r="K25" i="94" s="1"/>
  <c r="M25" i="94" s="1"/>
  <c r="O25" i="94" s="1"/>
  <c r="Q25" i="94" s="1"/>
  <c r="S25" i="94" s="1"/>
  <c r="U25" i="94" s="1"/>
  <c r="W25" i="94" s="1"/>
  <c r="Y25" i="94" s="1"/>
  <c r="AA25" i="94" s="1"/>
  <c r="AC25" i="94" s="1"/>
  <c r="AE25" i="94" s="1"/>
  <c r="I21" i="94"/>
  <c r="K21" i="94" s="1"/>
  <c r="M21" i="94" s="1"/>
  <c r="O21" i="94" s="1"/>
  <c r="Q21" i="94" s="1"/>
  <c r="S21" i="94" s="1"/>
  <c r="U21" i="94" s="1"/>
  <c r="W21" i="94" s="1"/>
  <c r="Y21" i="94" s="1"/>
  <c r="AA21" i="94" s="1"/>
  <c r="AC21" i="94" s="1"/>
  <c r="AE21" i="94" s="1"/>
  <c r="G53" i="94"/>
  <c r="D57" i="94"/>
  <c r="G55" i="94"/>
  <c r="I55" i="94" s="1"/>
  <c r="K55" i="94" s="1"/>
  <c r="G57" i="94"/>
  <c r="I57" i="94" s="1"/>
  <c r="K57" i="94" s="1"/>
  <c r="I10" i="94"/>
  <c r="G30" i="94"/>
  <c r="I14" i="94"/>
  <c r="K14" i="94" s="1"/>
  <c r="M14" i="94" s="1"/>
  <c r="O14" i="94" s="1"/>
  <c r="Q14" i="94" s="1"/>
  <c r="S14" i="94" s="1"/>
  <c r="U14" i="94" s="1"/>
  <c r="W14" i="94" s="1"/>
  <c r="Y14" i="94" s="1"/>
  <c r="AA14" i="94" s="1"/>
  <c r="AC14" i="94" s="1"/>
  <c r="AE14" i="94" s="1"/>
  <c r="AA78" i="93"/>
  <c r="AN87" i="93"/>
  <c r="AA76" i="93"/>
  <c r="AO84" i="93"/>
  <c r="AE5" i="94" l="1"/>
  <c r="AG5" i="94" s="1"/>
  <c r="AI5" i="94" s="1"/>
  <c r="AK5" i="94" s="1"/>
  <c r="AM5" i="94" s="1"/>
  <c r="AO5" i="94" s="1"/>
  <c r="AG25" i="94"/>
  <c r="AI25" i="94" s="1"/>
  <c r="AG27" i="94"/>
  <c r="AI27" i="94" s="1"/>
  <c r="AG12" i="94"/>
  <c r="AI12" i="94" s="1"/>
  <c r="AG21" i="94"/>
  <c r="AI21" i="94" s="1"/>
  <c r="AG23" i="94"/>
  <c r="AI23" i="94" s="1"/>
  <c r="AK17" i="94"/>
  <c r="AM17" i="94" s="1"/>
  <c r="AO17" i="94" s="1"/>
  <c r="AG14" i="94"/>
  <c r="AI14" i="94" s="1"/>
  <c r="I53" i="94"/>
  <c r="I30" i="94"/>
  <c r="K10" i="94"/>
  <c r="M10" i="94" s="1"/>
  <c r="D60" i="94"/>
  <c r="E60" i="94" s="1"/>
  <c r="G60" i="94" s="1"/>
  <c r="I60" i="94" s="1"/>
  <c r="K60" i="94" s="1"/>
  <c r="AQ5" i="94" l="1"/>
  <c r="AS5" i="94" s="1"/>
  <c r="AU5" i="94" s="1"/>
  <c r="AY5" i="94" s="1"/>
  <c r="BB28" i="94" s="1"/>
  <c r="AK23" i="94"/>
  <c r="AM23" i="94" s="1"/>
  <c r="AO23" i="94" s="1"/>
  <c r="AK27" i="94"/>
  <c r="AK14" i="94"/>
  <c r="AK12" i="94"/>
  <c r="AM12" i="94" s="1"/>
  <c r="AO12" i="94" s="1"/>
  <c r="AQ17" i="94"/>
  <c r="AS17" i="94" s="1"/>
  <c r="AK21" i="94"/>
  <c r="AM21" i="94" s="1"/>
  <c r="AO21" i="94" s="1"/>
  <c r="AK25" i="94"/>
  <c r="AM25" i="94" s="1"/>
  <c r="AO25" i="94" s="1"/>
  <c r="M30" i="94"/>
  <c r="O10" i="94"/>
  <c r="Q10" i="94" s="1"/>
  <c r="G72" i="94"/>
  <c r="D66" i="94"/>
  <c r="K53" i="94"/>
  <c r="K72" i="94" s="1"/>
  <c r="I72" i="94"/>
  <c r="AV5" i="94" l="1"/>
  <c r="AU17" i="94"/>
  <c r="AY17" i="94" s="1"/>
  <c r="AV17" i="94"/>
  <c r="AM14" i="94"/>
  <c r="AO14" i="94" s="1"/>
  <c r="AQ14" i="94" s="1"/>
  <c r="AS14" i="94" s="1"/>
  <c r="AU14" i="94" s="1"/>
  <c r="AY14" i="94" s="1"/>
  <c r="AM27" i="94"/>
  <c r="AO27" i="94" s="1"/>
  <c r="AQ27" i="94" s="1"/>
  <c r="AS27" i="94" s="1"/>
  <c r="AQ21" i="94"/>
  <c r="AS21" i="94" s="1"/>
  <c r="AU21" i="94" s="1"/>
  <c r="AY21" i="94" s="1"/>
  <c r="AQ23" i="94"/>
  <c r="AS23" i="94" s="1"/>
  <c r="AU23" i="94" s="1"/>
  <c r="AY23" i="94" s="1"/>
  <c r="AQ25" i="94"/>
  <c r="AS25" i="94" s="1"/>
  <c r="AU25" i="94" s="1"/>
  <c r="AY25" i="94" s="1"/>
  <c r="AQ12" i="94"/>
  <c r="AS12" i="94" s="1"/>
  <c r="AU12" i="94" s="1"/>
  <c r="AY12" i="94" s="1"/>
  <c r="Q30" i="94"/>
  <c r="S10" i="94"/>
  <c r="U10" i="94" s="1"/>
  <c r="AV21" i="94" l="1"/>
  <c r="AU27" i="94"/>
  <c r="AY27" i="94" s="1"/>
  <c r="AV27" i="94"/>
  <c r="AV23" i="94"/>
  <c r="AV14" i="94"/>
  <c r="AV25" i="94"/>
  <c r="AV12" i="94"/>
  <c r="U30" i="94"/>
  <c r="W10" i="94"/>
  <c r="Y10" i="94" s="1"/>
  <c r="Y30" i="94" l="1"/>
  <c r="AA10" i="94"/>
  <c r="AC10" i="94" s="1"/>
  <c r="AC30" i="94" l="1"/>
  <c r="AE10" i="94"/>
  <c r="AG10" i="94" s="1"/>
  <c r="AG30" i="94" l="1"/>
  <c r="AI10" i="94"/>
  <c r="AK10" i="94" l="1"/>
  <c r="AK30" i="94" l="1"/>
  <c r="AM10" i="94"/>
  <c r="AO10" i="94" s="1"/>
  <c r="AO30" i="94" l="1"/>
  <c r="AQ10" i="94"/>
  <c r="AS10" i="94" s="1"/>
  <c r="AV10" i="94" s="1"/>
  <c r="AV29" i="94" s="1"/>
  <c r="AV33" i="94" s="1"/>
  <c r="AV34" i="94" s="1"/>
  <c r="AU10" i="94" l="1"/>
  <c r="AY10" i="94" s="1"/>
  <c r="AY29" i="94" s="1"/>
  <c r="BA29" i="94" s="1"/>
  <c r="BB29" i="94" s="1"/>
  <c r="AV46" i="95" s="1"/>
  <c r="AV47" i="95" s="1"/>
  <c r="E8" i="95" s="1"/>
  <c r="AS30" i="94"/>
  <c r="AV30" i="94" s="1"/>
  <c r="AY31" i="94"/>
  <c r="L72" i="94"/>
  <c r="M72" i="94" s="1"/>
  <c r="AV48" i="94"/>
  <c r="AY32" i="94"/>
  <c r="BA32" i="94" s="1"/>
  <c r="AX32" i="95" l="1"/>
  <c r="E11" i="95"/>
  <c r="AV32" i="95"/>
  <c r="E51" i="95"/>
  <c r="BA48" i="94"/>
  <c r="BA50" i="94" s="1"/>
  <c r="BA57" i="94" s="1"/>
  <c r="BB57" i="94" s="1"/>
  <c r="BB58" i="94" s="1"/>
  <c r="BA56" i="94" s="1"/>
  <c r="BA60" i="94"/>
  <c r="BF47" i="94" s="1"/>
  <c r="BD36" i="94" s="1"/>
  <c r="Q72" i="94"/>
  <c r="S72" i="94"/>
  <c r="AV56" i="94"/>
  <c r="AV49" i="94"/>
  <c r="AX39" i="94" s="1"/>
  <c r="E17" i="95" l="1"/>
  <c r="G17" i="95" s="1"/>
  <c r="E5" i="95"/>
  <c r="G5" i="95" s="1"/>
  <c r="E21" i="95"/>
  <c r="E14" i="95"/>
  <c r="AV62" i="94"/>
  <c r="AV72" i="94"/>
  <c r="AV80" i="94"/>
  <c r="AW65" i="94"/>
  <c r="AW82" i="94" s="1"/>
  <c r="AV74" i="94"/>
  <c r="AV81" i="94"/>
  <c r="AV60" i="94"/>
  <c r="AV77" i="94"/>
  <c r="AV71" i="94"/>
  <c r="AV70" i="94"/>
  <c r="AV61" i="94"/>
  <c r="AV66" i="94"/>
  <c r="AV79" i="94"/>
  <c r="AV67" i="94"/>
  <c r="AV69" i="94"/>
  <c r="AV76" i="94"/>
  <c r="AV75" i="94"/>
  <c r="AV78" i="94"/>
  <c r="AV73" i="94"/>
  <c r="AV58" i="94"/>
  <c r="CC25" i="94" s="1"/>
  <c r="CC26" i="94" s="1"/>
  <c r="CC27" i="94" s="1"/>
  <c r="CC28" i="94" s="1"/>
  <c r="CC29" i="94" s="1"/>
  <c r="CC30" i="94" s="1"/>
  <c r="CC31" i="94" s="1"/>
  <c r="CC32" i="94" s="1"/>
  <c r="CC33" i="94" s="1"/>
  <c r="CC34" i="94" s="1"/>
  <c r="CC35" i="94" s="1"/>
  <c r="CC36" i="94" s="1"/>
  <c r="CC37" i="94" s="1"/>
  <c r="CC38" i="94" s="1"/>
  <c r="CC39" i="94" s="1"/>
  <c r="CC40" i="94" s="1"/>
  <c r="CC41" i="94" s="1"/>
  <c r="CC42" i="94" s="1"/>
  <c r="CC43" i="94" s="1"/>
  <c r="CC44" i="94" s="1"/>
  <c r="CC45" i="94" s="1"/>
  <c r="CC46" i="94" s="1"/>
  <c r="CC47" i="94" s="1"/>
  <c r="CC48" i="94" s="1"/>
  <c r="CC49" i="94" s="1"/>
  <c r="CC50" i="94" s="1"/>
  <c r="CC51" i="94" s="1"/>
  <c r="CC52" i="94" s="1"/>
  <c r="CC53" i="94" s="1"/>
  <c r="CC54" i="94" s="1"/>
  <c r="CC55" i="94" s="1"/>
  <c r="AV68" i="94"/>
  <c r="AV63" i="94"/>
  <c r="AV59" i="94"/>
  <c r="U72" i="94"/>
  <c r="BD48" i="94"/>
  <c r="BA61" i="94"/>
  <c r="G14" i="95" l="1"/>
  <c r="G10" i="95"/>
  <c r="E57" i="95"/>
  <c r="G12" i="95"/>
  <c r="G23" i="95"/>
  <c r="E63" i="95"/>
  <c r="G25" i="95"/>
  <c r="G21" i="95"/>
  <c r="G27" i="95"/>
  <c r="I5" i="95"/>
  <c r="K5" i="95" s="1"/>
  <c r="M5" i="95" s="1"/>
  <c r="O5" i="95" s="1"/>
  <c r="Q5" i="95" s="1"/>
  <c r="S5" i="95" s="1"/>
  <c r="U5" i="95" s="1"/>
  <c r="W5" i="95" s="1"/>
  <c r="Y5" i="95" s="1"/>
  <c r="AA5" i="95" s="1"/>
  <c r="AC5" i="95" s="1"/>
  <c r="AE5" i="95" s="1"/>
  <c r="AG5" i="95" s="1"/>
  <c r="AI5" i="95" s="1"/>
  <c r="AK5" i="95" s="1"/>
  <c r="AM5" i="95" s="1"/>
  <c r="AO5" i="95" s="1"/>
  <c r="AQ5" i="95" s="1"/>
  <c r="AS5" i="95" s="1"/>
  <c r="AU5" i="95" s="1"/>
  <c r="AY5" i="95" s="1"/>
  <c r="BB28" i="95" s="1"/>
  <c r="I17" i="95"/>
  <c r="K17" i="95" s="1"/>
  <c r="M17" i="95" s="1"/>
  <c r="O17" i="95" s="1"/>
  <c r="Q17" i="95" s="1"/>
  <c r="S17" i="95" s="1"/>
  <c r="U17" i="95" s="1"/>
  <c r="W17" i="95" s="1"/>
  <c r="Y17" i="95" s="1"/>
  <c r="AA17" i="95" s="1"/>
  <c r="AC17" i="95" s="1"/>
  <c r="AE17" i="95" s="1"/>
  <c r="AG17" i="95" s="1"/>
  <c r="AI17" i="95" s="1"/>
  <c r="AK17" i="95" s="1"/>
  <c r="AM17" i="95" s="1"/>
  <c r="AO17" i="95" s="1"/>
  <c r="AQ17" i="95" s="1"/>
  <c r="AS17" i="95" s="1"/>
  <c r="AU17" i="95" s="1"/>
  <c r="AY17" i="95" s="1"/>
  <c r="Y72" i="94"/>
  <c r="AA72" i="94" s="1"/>
  <c r="AV85" i="94"/>
  <c r="AW83" i="94"/>
  <c r="AV83" i="94" s="1"/>
  <c r="AV84" i="94" s="1"/>
  <c r="I12" i="95" l="1"/>
  <c r="K12" i="95" s="1"/>
  <c r="M12" i="95" s="1"/>
  <c r="O12" i="95" s="1"/>
  <c r="Q12" i="95" s="1"/>
  <c r="S12" i="95" s="1"/>
  <c r="U12" i="95" s="1"/>
  <c r="W12" i="95" s="1"/>
  <c r="Y12" i="95" s="1"/>
  <c r="AA12" i="95" s="1"/>
  <c r="AC12" i="95" s="1"/>
  <c r="AE12" i="95" s="1"/>
  <c r="AG12" i="95" s="1"/>
  <c r="AI12" i="95" s="1"/>
  <c r="AK12" i="95" s="1"/>
  <c r="AM12" i="95" s="1"/>
  <c r="AO12" i="95" s="1"/>
  <c r="AQ12" i="95" s="1"/>
  <c r="AS12" i="95" s="1"/>
  <c r="AU12" i="95" s="1"/>
  <c r="AY12" i="95" s="1"/>
  <c r="I21" i="95"/>
  <c r="K21" i="95" s="1"/>
  <c r="M21" i="95" s="1"/>
  <c r="O21" i="95" s="1"/>
  <c r="Q21" i="95" s="1"/>
  <c r="S21" i="95" s="1"/>
  <c r="U21" i="95" s="1"/>
  <c r="W21" i="95" s="1"/>
  <c r="Y21" i="95" s="1"/>
  <c r="AA21" i="95" s="1"/>
  <c r="AC21" i="95" s="1"/>
  <c r="AE21" i="95" s="1"/>
  <c r="AG21" i="95" s="1"/>
  <c r="AI21" i="95" s="1"/>
  <c r="AK21" i="95" s="1"/>
  <c r="AM21" i="95" s="1"/>
  <c r="AO21" i="95" s="1"/>
  <c r="AQ21" i="95" s="1"/>
  <c r="AS21" i="95" s="1"/>
  <c r="AU21" i="95" s="1"/>
  <c r="AY21" i="95" s="1"/>
  <c r="G63" i="95"/>
  <c r="I63" i="95" s="1"/>
  <c r="K63" i="95" s="1"/>
  <c r="G65" i="95"/>
  <c r="I65" i="95" s="1"/>
  <c r="K65" i="95" s="1"/>
  <c r="G67" i="95"/>
  <c r="I67" i="95" s="1"/>
  <c r="K67" i="95" s="1"/>
  <c r="D63" i="95"/>
  <c r="G69" i="95"/>
  <c r="I69" i="95" s="1"/>
  <c r="K69" i="95" s="1"/>
  <c r="AV5" i="95"/>
  <c r="I25" i="95"/>
  <c r="K25" i="95" s="1"/>
  <c r="M25" i="95" s="1"/>
  <c r="O25" i="95" s="1"/>
  <c r="Q25" i="95" s="1"/>
  <c r="S25" i="95" s="1"/>
  <c r="U25" i="95" s="1"/>
  <c r="W25" i="95" s="1"/>
  <c r="Y25" i="95" s="1"/>
  <c r="AA25" i="95" s="1"/>
  <c r="AC25" i="95" s="1"/>
  <c r="AE25" i="95" s="1"/>
  <c r="AG25" i="95" s="1"/>
  <c r="AI25" i="95" s="1"/>
  <c r="AK25" i="95" s="1"/>
  <c r="AM25" i="95" s="1"/>
  <c r="AO25" i="95" s="1"/>
  <c r="AQ25" i="95" s="1"/>
  <c r="AS25" i="95" s="1"/>
  <c r="AU25" i="95" s="1"/>
  <c r="AY25" i="95" s="1"/>
  <c r="AV17" i="95"/>
  <c r="I23" i="95"/>
  <c r="K23" i="95" s="1"/>
  <c r="M23" i="95" s="1"/>
  <c r="O23" i="95" s="1"/>
  <c r="Q23" i="95" s="1"/>
  <c r="S23" i="95" s="1"/>
  <c r="U23" i="95" s="1"/>
  <c r="W23" i="95" s="1"/>
  <c r="Y23" i="95" s="1"/>
  <c r="AA23" i="95" s="1"/>
  <c r="AC23" i="95" s="1"/>
  <c r="AE23" i="95" s="1"/>
  <c r="AG23" i="95" s="1"/>
  <c r="AI23" i="95" s="1"/>
  <c r="AK23" i="95" s="1"/>
  <c r="AM23" i="95" s="1"/>
  <c r="AO23" i="95" s="1"/>
  <c r="AQ23" i="95" s="1"/>
  <c r="AS23" i="95" s="1"/>
  <c r="AU23" i="95" s="1"/>
  <c r="AY23" i="95" s="1"/>
  <c r="G53" i="95"/>
  <c r="D57" i="95"/>
  <c r="G57" i="95"/>
  <c r="I57" i="95" s="1"/>
  <c r="K57" i="95" s="1"/>
  <c r="G55" i="95"/>
  <c r="I55" i="95" s="1"/>
  <c r="K55" i="95" s="1"/>
  <c r="G30" i="95"/>
  <c r="I10" i="95"/>
  <c r="I27" i="95"/>
  <c r="K27" i="95" s="1"/>
  <c r="M27" i="95" s="1"/>
  <c r="O27" i="95" s="1"/>
  <c r="Q27" i="95" s="1"/>
  <c r="S27" i="95" s="1"/>
  <c r="U27" i="95" s="1"/>
  <c r="W27" i="95" s="1"/>
  <c r="Y27" i="95" s="1"/>
  <c r="AA27" i="95" s="1"/>
  <c r="AC27" i="95" s="1"/>
  <c r="AE27" i="95" s="1"/>
  <c r="AG27" i="95" s="1"/>
  <c r="AI27" i="95" s="1"/>
  <c r="AK27" i="95" s="1"/>
  <c r="AM27" i="95" s="1"/>
  <c r="AO27" i="95" s="1"/>
  <c r="AQ27" i="95" s="1"/>
  <c r="AS27" i="95" s="1"/>
  <c r="AU27" i="95" s="1"/>
  <c r="AY27" i="95" s="1"/>
  <c r="I14" i="95"/>
  <c r="K14" i="95" s="1"/>
  <c r="M14" i="95" s="1"/>
  <c r="O14" i="95" s="1"/>
  <c r="Q14" i="95" s="1"/>
  <c r="S14" i="95" s="1"/>
  <c r="U14" i="95" s="1"/>
  <c r="W14" i="95" s="1"/>
  <c r="Y14" i="95" s="1"/>
  <c r="AA14" i="95" s="1"/>
  <c r="AC14" i="95" s="1"/>
  <c r="AE14" i="95" s="1"/>
  <c r="AG14" i="95" s="1"/>
  <c r="AI14" i="95" s="1"/>
  <c r="AK14" i="95" s="1"/>
  <c r="AM14" i="95" s="1"/>
  <c r="AO14" i="95" s="1"/>
  <c r="AQ14" i="95" s="1"/>
  <c r="AS14" i="95" s="1"/>
  <c r="AU14" i="95" s="1"/>
  <c r="AY14" i="95" s="1"/>
  <c r="AW84" i="94"/>
  <c r="AA76" i="94"/>
  <c r="AA78" i="94"/>
  <c r="AV87" i="94"/>
  <c r="AV23" i="95" l="1"/>
  <c r="AV27" i="95"/>
  <c r="I30" i="95"/>
  <c r="K10" i="95"/>
  <c r="M10" i="95" s="1"/>
  <c r="AV25" i="95"/>
  <c r="AV21" i="95"/>
  <c r="AV14" i="95"/>
  <c r="AV12" i="95"/>
  <c r="I53" i="95"/>
  <c r="D60" i="95"/>
  <c r="E60" i="95" s="1"/>
  <c r="G60" i="95" s="1"/>
  <c r="I60" i="95" s="1"/>
  <c r="K60" i="95" s="1"/>
  <c r="D66" i="95" l="1"/>
  <c r="K53" i="95"/>
  <c r="K72" i="95" s="1"/>
  <c r="I72" i="95"/>
  <c r="M30" i="95"/>
  <c r="O10" i="95"/>
  <c r="Q10" i="95" s="1"/>
  <c r="G72" i="95"/>
  <c r="Q30" i="95" l="1"/>
  <c r="S10" i="95"/>
  <c r="U10" i="95" s="1"/>
  <c r="U30" i="95" l="1"/>
  <c r="W10" i="95"/>
  <c r="Y10" i="95" s="1"/>
  <c r="Y30" i="95" l="1"/>
  <c r="AA10" i="95"/>
  <c r="AC10" i="95" s="1"/>
  <c r="AC30" i="95" l="1"/>
  <c r="AE10" i="95"/>
  <c r="AG10" i="95" s="1"/>
  <c r="AG30" i="95" l="1"/>
  <c r="AI10" i="95"/>
  <c r="AK10" i="95" s="1"/>
  <c r="AK30" i="95" l="1"/>
  <c r="AM10" i="95"/>
  <c r="AO10" i="95" s="1"/>
  <c r="AQ10" i="95" l="1"/>
  <c r="AS10" i="95" s="1"/>
  <c r="AO30" i="95"/>
  <c r="AU10" i="95" l="1"/>
  <c r="AY10" i="95" s="1"/>
  <c r="AY29" i="95" s="1"/>
  <c r="BA29" i="95" s="1"/>
  <c r="BB29" i="95" s="1"/>
  <c r="BD46" i="96" s="1"/>
  <c r="BD47" i="96" s="1"/>
  <c r="AS30" i="95"/>
  <c r="AV30" i="95" s="1"/>
  <c r="AV10" i="95"/>
  <c r="AV29" i="95" s="1"/>
  <c r="AV33" i="95" s="1"/>
  <c r="AV34" i="95" s="1"/>
  <c r="L72" i="95" l="1"/>
  <c r="M72" i="95" s="1"/>
  <c r="AY31" i="95"/>
  <c r="AV48" i="95"/>
  <c r="AY32" i="95"/>
  <c r="BA32" i="95" s="1"/>
  <c r="BF32" i="96"/>
  <c r="E8" i="96"/>
  <c r="BA48" i="95" l="1"/>
  <c r="BA50" i="95" s="1"/>
  <c r="BA57" i="95" s="1"/>
  <c r="BB57" i="95" s="1"/>
  <c r="BB58" i="95" s="1"/>
  <c r="BA56" i="95" s="1"/>
  <c r="BA60" i="95"/>
  <c r="E11" i="96"/>
  <c r="BD32" i="96"/>
  <c r="E51" i="96"/>
  <c r="AV56" i="95"/>
  <c r="AV49" i="95"/>
  <c r="AX39" i="95" s="1"/>
  <c r="S72" i="95"/>
  <c r="Q72" i="95"/>
  <c r="U72" i="95" l="1"/>
  <c r="AV69" i="95"/>
  <c r="AV59" i="95"/>
  <c r="AV66" i="95"/>
  <c r="AW65" i="95"/>
  <c r="AW82" i="95" s="1"/>
  <c r="AV60" i="95"/>
  <c r="AV70" i="95"/>
  <c r="AV81" i="95"/>
  <c r="AV67" i="95"/>
  <c r="AV62" i="95"/>
  <c r="AV61" i="95"/>
  <c r="AV74" i="95"/>
  <c r="AV75" i="95"/>
  <c r="AV79" i="95"/>
  <c r="E11" i="108" s="1"/>
  <c r="AV73" i="95"/>
  <c r="AV71" i="95"/>
  <c r="AV78" i="95"/>
  <c r="E10" i="109" s="1"/>
  <c r="AV77" i="95"/>
  <c r="E10" i="110" s="1"/>
  <c r="AV72" i="95"/>
  <c r="AV76" i="95"/>
  <c r="AV63" i="95"/>
  <c r="AV68" i="95"/>
  <c r="AV58" i="95"/>
  <c r="CC25" i="95" s="1"/>
  <c r="CC26" i="95" s="1"/>
  <c r="CC27" i="95" s="1"/>
  <c r="CC28" i="95" s="1"/>
  <c r="CC29" i="95" s="1"/>
  <c r="CC30" i="95" s="1"/>
  <c r="CC31" i="95" s="1"/>
  <c r="CC32" i="95" s="1"/>
  <c r="CC33" i="95" s="1"/>
  <c r="CC34" i="95" s="1"/>
  <c r="CC35" i="95" s="1"/>
  <c r="CC36" i="95" s="1"/>
  <c r="CC37" i="95" s="1"/>
  <c r="CC38" i="95" s="1"/>
  <c r="CC39" i="95" s="1"/>
  <c r="CC40" i="95" s="1"/>
  <c r="CC41" i="95" s="1"/>
  <c r="CC42" i="95" s="1"/>
  <c r="CC43" i="95" s="1"/>
  <c r="CC44" i="95" s="1"/>
  <c r="CC45" i="95" s="1"/>
  <c r="CC46" i="95" s="1"/>
  <c r="CC47" i="95" s="1"/>
  <c r="CC48" i="95" s="1"/>
  <c r="CC49" i="95" s="1"/>
  <c r="CC50" i="95" s="1"/>
  <c r="CC51" i="95" s="1"/>
  <c r="CC52" i="95" s="1"/>
  <c r="CC53" i="95" s="1"/>
  <c r="CC54" i="95" s="1"/>
  <c r="CC55" i="95" s="1"/>
  <c r="AV80" i="95"/>
  <c r="E21" i="96"/>
  <c r="E14" i="96"/>
  <c r="E5" i="96"/>
  <c r="G5" i="96" s="1"/>
  <c r="E17" i="96"/>
  <c r="G17" i="96" s="1"/>
  <c r="BF47" i="95"/>
  <c r="BD36" i="95" s="1"/>
  <c r="BD48" i="95"/>
  <c r="BA61" i="95"/>
  <c r="I17" i="96" l="1"/>
  <c r="K17" i="96" s="1"/>
  <c r="M17" i="96" s="1"/>
  <c r="O17" i="96" s="1"/>
  <c r="Q17" i="96" s="1"/>
  <c r="S17" i="96" s="1"/>
  <c r="U17" i="96" s="1"/>
  <c r="W17" i="96" s="1"/>
  <c r="Y17" i="96" s="1"/>
  <c r="AA17" i="96" s="1"/>
  <c r="AC17" i="96" s="1"/>
  <c r="AE17" i="96" s="1"/>
  <c r="AG17" i="96" s="1"/>
  <c r="AI17" i="96" s="1"/>
  <c r="AK17" i="96" s="1"/>
  <c r="AM17" i="96" s="1"/>
  <c r="AO17" i="96" s="1"/>
  <c r="AQ17" i="96" s="1"/>
  <c r="AS17" i="96" s="1"/>
  <c r="AU17" i="96" s="1"/>
  <c r="AW17" i="96" s="1"/>
  <c r="AY17" i="96" s="1"/>
  <c r="BA17" i="96" s="1"/>
  <c r="BC17" i="96" s="1"/>
  <c r="BG17" i="96" s="1"/>
  <c r="AW83" i="95"/>
  <c r="AV83" i="95" s="1"/>
  <c r="AV84" i="95" s="1"/>
  <c r="I5" i="96"/>
  <c r="K5" i="96" s="1"/>
  <c r="M5" i="96" s="1"/>
  <c r="O5" i="96" s="1"/>
  <c r="Q5" i="96" s="1"/>
  <c r="S5" i="96" s="1"/>
  <c r="U5" i="96" s="1"/>
  <c r="W5" i="96" s="1"/>
  <c r="Y5" i="96" s="1"/>
  <c r="AA5" i="96" s="1"/>
  <c r="AC5" i="96" s="1"/>
  <c r="AE5" i="96" s="1"/>
  <c r="AG5" i="96" s="1"/>
  <c r="AI5" i="96" s="1"/>
  <c r="AK5" i="96" s="1"/>
  <c r="AM5" i="96" s="1"/>
  <c r="AO5" i="96" s="1"/>
  <c r="AQ5" i="96" s="1"/>
  <c r="AS5" i="96" s="1"/>
  <c r="AU5" i="96" s="1"/>
  <c r="AW5" i="96" s="1"/>
  <c r="AY5" i="96" s="1"/>
  <c r="BA5" i="96" s="1"/>
  <c r="BC5" i="96" s="1"/>
  <c r="BG5" i="96" s="1"/>
  <c r="BJ28" i="96" s="1"/>
  <c r="Y72" i="95"/>
  <c r="AA72" i="95" s="1"/>
  <c r="AV85" i="95"/>
  <c r="G27" i="96"/>
  <c r="G23" i="96"/>
  <c r="G21" i="96"/>
  <c r="E63" i="96"/>
  <c r="G25" i="96"/>
  <c r="G12" i="96"/>
  <c r="E57" i="96"/>
  <c r="G14" i="96"/>
  <c r="G10" i="96"/>
  <c r="AW84" i="95" l="1"/>
  <c r="BD17" i="96"/>
  <c r="AV87" i="95"/>
  <c r="AA76" i="95"/>
  <c r="AA78" i="95"/>
  <c r="BD5" i="96"/>
  <c r="G65" i="96"/>
  <c r="I65" i="96" s="1"/>
  <c r="K65" i="96" s="1"/>
  <c r="G67" i="96"/>
  <c r="I67" i="96" s="1"/>
  <c r="K67" i="96" s="1"/>
  <c r="G63" i="96"/>
  <c r="I63" i="96" s="1"/>
  <c r="K63" i="96" s="1"/>
  <c r="G69" i="96"/>
  <c r="I69" i="96" s="1"/>
  <c r="K69" i="96" s="1"/>
  <c r="D63" i="96"/>
  <c r="I21" i="96"/>
  <c r="K21" i="96" s="1"/>
  <c r="M21" i="96" s="1"/>
  <c r="O21" i="96" s="1"/>
  <c r="Q21" i="96" s="1"/>
  <c r="S21" i="96" s="1"/>
  <c r="U21" i="96" s="1"/>
  <c r="W21" i="96" s="1"/>
  <c r="Y21" i="96" s="1"/>
  <c r="AA21" i="96" s="1"/>
  <c r="AC21" i="96" s="1"/>
  <c r="AE21" i="96" s="1"/>
  <c r="AG21" i="96" s="1"/>
  <c r="AI21" i="96" s="1"/>
  <c r="AK21" i="96" s="1"/>
  <c r="AM21" i="96" s="1"/>
  <c r="AO21" i="96" s="1"/>
  <c r="AQ21" i="96" s="1"/>
  <c r="AS21" i="96" s="1"/>
  <c r="AU21" i="96" s="1"/>
  <c r="AW21" i="96" s="1"/>
  <c r="AY21" i="96" s="1"/>
  <c r="BA21" i="96" s="1"/>
  <c r="BC21" i="96" s="1"/>
  <c r="BG21" i="96" s="1"/>
  <c r="I14" i="96"/>
  <c r="K14" i="96" s="1"/>
  <c r="M14" i="96" s="1"/>
  <c r="O14" i="96" s="1"/>
  <c r="Q14" i="96" s="1"/>
  <c r="S14" i="96" s="1"/>
  <c r="U14" i="96" s="1"/>
  <c r="W14" i="96" s="1"/>
  <c r="Y14" i="96" s="1"/>
  <c r="AA14" i="96" s="1"/>
  <c r="AC14" i="96" s="1"/>
  <c r="AE14" i="96" s="1"/>
  <c r="AG14" i="96" s="1"/>
  <c r="AI14" i="96" s="1"/>
  <c r="AK14" i="96" s="1"/>
  <c r="AM14" i="96" s="1"/>
  <c r="AO14" i="96" s="1"/>
  <c r="AQ14" i="96" s="1"/>
  <c r="AS14" i="96" s="1"/>
  <c r="AU14" i="96" s="1"/>
  <c r="AW14" i="96" s="1"/>
  <c r="AY14" i="96" s="1"/>
  <c r="BA14" i="96" s="1"/>
  <c r="BC14" i="96" s="1"/>
  <c r="BG14" i="96" s="1"/>
  <c r="D57" i="96"/>
  <c r="G57" i="96"/>
  <c r="I57" i="96" s="1"/>
  <c r="K57" i="96" s="1"/>
  <c r="G55" i="96"/>
  <c r="I55" i="96" s="1"/>
  <c r="K55" i="96" s="1"/>
  <c r="G53" i="96"/>
  <c r="I12" i="96"/>
  <c r="K12" i="96" s="1"/>
  <c r="M12" i="96" s="1"/>
  <c r="O12" i="96" s="1"/>
  <c r="Q12" i="96" s="1"/>
  <c r="S12" i="96" s="1"/>
  <c r="U12" i="96" s="1"/>
  <c r="W12" i="96" s="1"/>
  <c r="Y12" i="96" s="1"/>
  <c r="AA12" i="96" s="1"/>
  <c r="AC12" i="96" s="1"/>
  <c r="AE12" i="96" s="1"/>
  <c r="AG12" i="96" s="1"/>
  <c r="AI12" i="96" s="1"/>
  <c r="AK12" i="96" s="1"/>
  <c r="AM12" i="96" s="1"/>
  <c r="AO12" i="96" s="1"/>
  <c r="AQ12" i="96" s="1"/>
  <c r="AS12" i="96" s="1"/>
  <c r="AU12" i="96" s="1"/>
  <c r="AW12" i="96" s="1"/>
  <c r="AY12" i="96" s="1"/>
  <c r="BA12" i="96" s="1"/>
  <c r="BC12" i="96" s="1"/>
  <c r="BG12" i="96" s="1"/>
  <c r="I25" i="96"/>
  <c r="K25" i="96" s="1"/>
  <c r="M25" i="96" s="1"/>
  <c r="O25" i="96" s="1"/>
  <c r="Q25" i="96" s="1"/>
  <c r="S25" i="96" s="1"/>
  <c r="U25" i="96" s="1"/>
  <c r="W25" i="96" s="1"/>
  <c r="Y25" i="96" s="1"/>
  <c r="AA25" i="96" s="1"/>
  <c r="AC25" i="96" s="1"/>
  <c r="AE25" i="96" s="1"/>
  <c r="AG25" i="96" s="1"/>
  <c r="AI25" i="96" s="1"/>
  <c r="AK25" i="96" s="1"/>
  <c r="AM25" i="96" s="1"/>
  <c r="AO25" i="96" s="1"/>
  <c r="AQ25" i="96" s="1"/>
  <c r="AS25" i="96" s="1"/>
  <c r="AU25" i="96" s="1"/>
  <c r="AW25" i="96" s="1"/>
  <c r="AY25" i="96" s="1"/>
  <c r="BA25" i="96" s="1"/>
  <c r="BC25" i="96" s="1"/>
  <c r="BG25" i="96" s="1"/>
  <c r="I23" i="96"/>
  <c r="K23" i="96" s="1"/>
  <c r="M23" i="96" s="1"/>
  <c r="O23" i="96" s="1"/>
  <c r="Q23" i="96" s="1"/>
  <c r="S23" i="96" s="1"/>
  <c r="U23" i="96" s="1"/>
  <c r="W23" i="96" s="1"/>
  <c r="Y23" i="96" s="1"/>
  <c r="AA23" i="96" s="1"/>
  <c r="AC23" i="96" s="1"/>
  <c r="AE23" i="96" s="1"/>
  <c r="AG23" i="96" s="1"/>
  <c r="AI23" i="96" s="1"/>
  <c r="AK23" i="96" s="1"/>
  <c r="AM23" i="96" s="1"/>
  <c r="AO23" i="96" s="1"/>
  <c r="AQ23" i="96" s="1"/>
  <c r="AS23" i="96" s="1"/>
  <c r="AU23" i="96" s="1"/>
  <c r="AW23" i="96" s="1"/>
  <c r="AY23" i="96" s="1"/>
  <c r="BA23" i="96" s="1"/>
  <c r="BC23" i="96" s="1"/>
  <c r="BG23" i="96" s="1"/>
  <c r="I10" i="96"/>
  <c r="G30" i="96"/>
  <c r="I27" i="96"/>
  <c r="K27" i="96" s="1"/>
  <c r="M27" i="96" s="1"/>
  <c r="O27" i="96" s="1"/>
  <c r="Q27" i="96" s="1"/>
  <c r="S27" i="96" s="1"/>
  <c r="U27" i="96" s="1"/>
  <c r="W27" i="96" s="1"/>
  <c r="Y27" i="96" s="1"/>
  <c r="AA27" i="96" s="1"/>
  <c r="AC27" i="96" s="1"/>
  <c r="AE27" i="96" s="1"/>
  <c r="AG27" i="96" s="1"/>
  <c r="AI27" i="96" s="1"/>
  <c r="AK27" i="96" s="1"/>
  <c r="AM27" i="96" s="1"/>
  <c r="AO27" i="96" s="1"/>
  <c r="AQ27" i="96" s="1"/>
  <c r="AS27" i="96" s="1"/>
  <c r="AU27" i="96" s="1"/>
  <c r="AW27" i="96" s="1"/>
  <c r="AY27" i="96" s="1"/>
  <c r="BA27" i="96" s="1"/>
  <c r="BC27" i="96" s="1"/>
  <c r="BG27" i="96" s="1"/>
  <c r="BD23" i="96" l="1"/>
  <c r="D60" i="96"/>
  <c r="E60" i="96" s="1"/>
  <c r="G60" i="96" s="1"/>
  <c r="I60" i="96" s="1"/>
  <c r="K60" i="96" s="1"/>
  <c r="D66" i="96"/>
  <c r="BD25" i="96"/>
  <c r="BD12" i="96"/>
  <c r="BD21" i="96"/>
  <c r="BD14" i="96"/>
  <c r="BD27" i="96"/>
  <c r="K10" i="96"/>
  <c r="M10" i="96" s="1"/>
  <c r="I30" i="96"/>
  <c r="I53" i="96"/>
  <c r="G72" i="96" l="1"/>
  <c r="K53" i="96"/>
  <c r="K72" i="96" s="1"/>
  <c r="I72" i="96"/>
  <c r="O10" i="96"/>
  <c r="Q10" i="96" s="1"/>
  <c r="M30" i="96"/>
  <c r="Q30" i="96" l="1"/>
  <c r="S10" i="96"/>
  <c r="U10" i="96" s="1"/>
  <c r="U30" i="96" l="1"/>
  <c r="W10" i="96"/>
  <c r="Y10" i="96" s="1"/>
  <c r="AA10" i="96" l="1"/>
  <c r="AC10" i="96" s="1"/>
  <c r="Y30" i="96"/>
  <c r="AC30" i="96" l="1"/>
  <c r="AE10" i="96"/>
  <c r="AG10" i="96" s="1"/>
  <c r="AG30" i="96" l="1"/>
  <c r="AI10" i="96"/>
  <c r="AK10" i="96" s="1"/>
  <c r="AK30" i="96" l="1"/>
  <c r="AM10" i="96"/>
  <c r="AO10" i="96" s="1"/>
  <c r="AO30" i="96" l="1"/>
  <c r="AQ10" i="96"/>
  <c r="AS10" i="96" s="1"/>
  <c r="AS30" i="96" l="1"/>
  <c r="AU10" i="96"/>
  <c r="AW10" i="96" s="1"/>
  <c r="AW30" i="96" l="1"/>
  <c r="AY10" i="96"/>
  <c r="BA10" i="96" s="1"/>
  <c r="BC10" i="96" l="1"/>
  <c r="BG10" i="96" s="1"/>
  <c r="BG29" i="96" s="1"/>
  <c r="BI29" i="96" s="1"/>
  <c r="BJ29" i="96" s="1"/>
  <c r="BD46" i="97" s="1"/>
  <c r="BD47" i="97" s="1"/>
  <c r="BA30" i="96"/>
  <c r="BD30" i="96" s="1"/>
  <c r="BD10" i="96"/>
  <c r="BD29" i="96" s="1"/>
  <c r="BD33" i="96" s="1"/>
  <c r="BD34" i="96" s="1"/>
  <c r="BD48" i="96" l="1"/>
  <c r="L72" i="96"/>
  <c r="M72" i="96" s="1"/>
  <c r="BG31" i="96"/>
  <c r="BG32" i="96"/>
  <c r="BI32" i="96" s="1"/>
  <c r="E8" i="97"/>
  <c r="BF32" i="97"/>
  <c r="E51" i="97" l="1"/>
  <c r="E11" i="97"/>
  <c r="BD32" i="97"/>
  <c r="BI48" i="96"/>
  <c r="BI50" i="96" s="1"/>
  <c r="BI57" i="96" s="1"/>
  <c r="BJ57" i="96" s="1"/>
  <c r="BJ58" i="96" s="1"/>
  <c r="BI56" i="96" s="1"/>
  <c r="BI60" i="96"/>
  <c r="Q72" i="96"/>
  <c r="S72" i="96"/>
  <c r="BD56" i="96"/>
  <c r="BD49" i="96"/>
  <c r="BF39" i="96" s="1"/>
  <c r="U72" i="96" l="1"/>
  <c r="BD74" i="96"/>
  <c r="BD66" i="96"/>
  <c r="BD81" i="96"/>
  <c r="BD58" i="96"/>
  <c r="CK25" i="96" s="1"/>
  <c r="CK26" i="96" s="1"/>
  <c r="CK27" i="96" s="1"/>
  <c r="CK28" i="96" s="1"/>
  <c r="CK29" i="96" s="1"/>
  <c r="CK30" i="96" s="1"/>
  <c r="CK31" i="96" s="1"/>
  <c r="CK32" i="96" s="1"/>
  <c r="CK33" i="96" s="1"/>
  <c r="CK34" i="96" s="1"/>
  <c r="CK35" i="96" s="1"/>
  <c r="CK36" i="96" s="1"/>
  <c r="CK37" i="96" s="1"/>
  <c r="CK38" i="96" s="1"/>
  <c r="CK39" i="96" s="1"/>
  <c r="CK40" i="96" s="1"/>
  <c r="CK41" i="96" s="1"/>
  <c r="CK42" i="96" s="1"/>
  <c r="CK43" i="96" s="1"/>
  <c r="CK44" i="96" s="1"/>
  <c r="CK45" i="96" s="1"/>
  <c r="CK46" i="96" s="1"/>
  <c r="CK47" i="96" s="1"/>
  <c r="CK48" i="96" s="1"/>
  <c r="CK49" i="96" s="1"/>
  <c r="CK50" i="96" s="1"/>
  <c r="CK51" i="96" s="1"/>
  <c r="CK52" i="96" s="1"/>
  <c r="CK53" i="96" s="1"/>
  <c r="CK54" i="96" s="1"/>
  <c r="CK55" i="96" s="1"/>
  <c r="BD63" i="96"/>
  <c r="BD76" i="96"/>
  <c r="BD75" i="96"/>
  <c r="BD67" i="96"/>
  <c r="BD62" i="96"/>
  <c r="BD71" i="96"/>
  <c r="BD80" i="96"/>
  <c r="BD73" i="96"/>
  <c r="BD60" i="96"/>
  <c r="BD77" i="96"/>
  <c r="E11" i="110" s="1"/>
  <c r="BD61" i="96"/>
  <c r="BD79" i="96"/>
  <c r="E12" i="108" s="1"/>
  <c r="BD68" i="96"/>
  <c r="BD72" i="96"/>
  <c r="BD78" i="96"/>
  <c r="E11" i="109" s="1"/>
  <c r="BE65" i="96"/>
  <c r="BE82" i="96" s="1"/>
  <c r="BD59" i="96"/>
  <c r="BD70" i="96"/>
  <c r="BD69" i="96"/>
  <c r="E17" i="97"/>
  <c r="G17" i="97" s="1"/>
  <c r="E5" i="97"/>
  <c r="G5" i="97" s="1"/>
  <c r="E21" i="97"/>
  <c r="E14" i="97"/>
  <c r="BI61" i="96"/>
  <c r="BL48" i="96"/>
  <c r="I17" i="97" l="1"/>
  <c r="K17" i="97" s="1"/>
  <c r="M17" i="97" s="1"/>
  <c r="O17" i="97" s="1"/>
  <c r="Q17" i="97" s="1"/>
  <c r="S17" i="97" s="1"/>
  <c r="U17" i="97" s="1"/>
  <c r="W17" i="97" s="1"/>
  <c r="Y17" i="97" s="1"/>
  <c r="AA17" i="97" s="1"/>
  <c r="AC17" i="97" s="1"/>
  <c r="AE17" i="97" s="1"/>
  <c r="AG17" i="97" s="1"/>
  <c r="AI17" i="97" s="1"/>
  <c r="AK17" i="97" s="1"/>
  <c r="AM17" i="97" s="1"/>
  <c r="AO17" i="97" s="1"/>
  <c r="AQ17" i="97" s="1"/>
  <c r="AS17" i="97" s="1"/>
  <c r="AU17" i="97" s="1"/>
  <c r="AW17" i="97" s="1"/>
  <c r="AY17" i="97" s="1"/>
  <c r="BA17" i="97" s="1"/>
  <c r="BC17" i="97" s="1"/>
  <c r="BG17" i="97" s="1"/>
  <c r="Y72" i="96"/>
  <c r="AA72" i="96" s="1"/>
  <c r="BD85" i="96"/>
  <c r="BE83" i="96"/>
  <c r="BD83" i="96" s="1"/>
  <c r="BD84" i="96" s="1"/>
  <c r="G14" i="97"/>
  <c r="G12" i="97"/>
  <c r="G10" i="97"/>
  <c r="E57" i="97"/>
  <c r="E63" i="97"/>
  <c r="G21" i="97"/>
  <c r="G25" i="97"/>
  <c r="G23" i="97"/>
  <c r="G27" i="97"/>
  <c r="I5" i="97"/>
  <c r="K5" i="97" s="1"/>
  <c r="M5" i="97" s="1"/>
  <c r="O5" i="97" s="1"/>
  <c r="Q5" i="97" s="1"/>
  <c r="S5" i="97" s="1"/>
  <c r="U5" i="97" s="1"/>
  <c r="W5" i="97" s="1"/>
  <c r="Y5" i="97" s="1"/>
  <c r="AA5" i="97" s="1"/>
  <c r="AC5" i="97" s="1"/>
  <c r="AE5" i="97" s="1"/>
  <c r="AG5" i="97" s="1"/>
  <c r="AI5" i="97" s="1"/>
  <c r="AK5" i="97" s="1"/>
  <c r="AM5" i="97" s="1"/>
  <c r="AO5" i="97" s="1"/>
  <c r="AQ5" i="97" s="1"/>
  <c r="AS5" i="97" s="1"/>
  <c r="AU5" i="97" s="1"/>
  <c r="AW5" i="97" s="1"/>
  <c r="AY5" i="97" s="1"/>
  <c r="BA5" i="97" s="1"/>
  <c r="BC5" i="97" s="1"/>
  <c r="BG5" i="97" s="1"/>
  <c r="BJ28" i="97" s="1"/>
  <c r="BE84" i="96" l="1"/>
  <c r="BD5" i="97"/>
  <c r="I27" i="97"/>
  <c r="K27" i="97" s="1"/>
  <c r="M27" i="97" s="1"/>
  <c r="O27" i="97" s="1"/>
  <c r="Q27" i="97" s="1"/>
  <c r="S27" i="97" s="1"/>
  <c r="U27" i="97" s="1"/>
  <c r="W27" i="97" s="1"/>
  <c r="Y27" i="97" s="1"/>
  <c r="AA27" i="97" s="1"/>
  <c r="AC27" i="97" s="1"/>
  <c r="AE27" i="97" s="1"/>
  <c r="AG27" i="97" s="1"/>
  <c r="AI27" i="97" s="1"/>
  <c r="AK27" i="97" s="1"/>
  <c r="AM27" i="97" s="1"/>
  <c r="AO27" i="97" s="1"/>
  <c r="AQ27" i="97" s="1"/>
  <c r="AS27" i="97" s="1"/>
  <c r="AU27" i="97" s="1"/>
  <c r="AW27" i="97" s="1"/>
  <c r="AY27" i="97" s="1"/>
  <c r="BA27" i="97" s="1"/>
  <c r="BC27" i="97" s="1"/>
  <c r="BG27" i="97" s="1"/>
  <c r="I23" i="97"/>
  <c r="K23" i="97" s="1"/>
  <c r="M23" i="97" s="1"/>
  <c r="O23" i="97" s="1"/>
  <c r="Q23" i="97" s="1"/>
  <c r="S23" i="97" s="1"/>
  <c r="U23" i="97" s="1"/>
  <c r="W23" i="97" s="1"/>
  <c r="Y23" i="97" s="1"/>
  <c r="AA23" i="97" s="1"/>
  <c r="AC23" i="97" s="1"/>
  <c r="AE23" i="97" s="1"/>
  <c r="AG23" i="97" s="1"/>
  <c r="AI23" i="97" s="1"/>
  <c r="AK23" i="97" s="1"/>
  <c r="AM23" i="97" s="1"/>
  <c r="AO23" i="97" s="1"/>
  <c r="AQ23" i="97" s="1"/>
  <c r="AS23" i="97" s="1"/>
  <c r="AU23" i="97" s="1"/>
  <c r="AW23" i="97" s="1"/>
  <c r="AY23" i="97" s="1"/>
  <c r="BA23" i="97" s="1"/>
  <c r="BC23" i="97" s="1"/>
  <c r="BG23" i="97" s="1"/>
  <c r="I14" i="97"/>
  <c r="K14" i="97" s="1"/>
  <c r="M14" i="97" s="1"/>
  <c r="O14" i="97" s="1"/>
  <c r="Q14" i="97" s="1"/>
  <c r="S14" i="97" s="1"/>
  <c r="U14" i="97" s="1"/>
  <c r="W14" i="97" s="1"/>
  <c r="Y14" i="97" s="1"/>
  <c r="AA14" i="97" s="1"/>
  <c r="AC14" i="97" s="1"/>
  <c r="AE14" i="97" s="1"/>
  <c r="AG14" i="97" s="1"/>
  <c r="AI14" i="97" s="1"/>
  <c r="AK14" i="97" s="1"/>
  <c r="AM14" i="97" s="1"/>
  <c r="AO14" i="97" s="1"/>
  <c r="AQ14" i="97" s="1"/>
  <c r="AS14" i="97" s="1"/>
  <c r="AU14" i="97" s="1"/>
  <c r="AW14" i="97" s="1"/>
  <c r="AY14" i="97" s="1"/>
  <c r="BA14" i="97" s="1"/>
  <c r="BC14" i="97" s="1"/>
  <c r="BG14" i="97" s="1"/>
  <c r="I25" i="97"/>
  <c r="K25" i="97" s="1"/>
  <c r="M25" i="97" s="1"/>
  <c r="O25" i="97" s="1"/>
  <c r="Q25" i="97" s="1"/>
  <c r="S25" i="97" s="1"/>
  <c r="U25" i="97" s="1"/>
  <c r="W25" i="97" s="1"/>
  <c r="Y25" i="97" s="1"/>
  <c r="AA25" i="97" s="1"/>
  <c r="AC25" i="97" s="1"/>
  <c r="AE25" i="97" s="1"/>
  <c r="AG25" i="97" s="1"/>
  <c r="AI25" i="97" s="1"/>
  <c r="AK25" i="97" s="1"/>
  <c r="AM25" i="97" s="1"/>
  <c r="AO25" i="97" s="1"/>
  <c r="AQ25" i="97" s="1"/>
  <c r="AS25" i="97" s="1"/>
  <c r="AU25" i="97" s="1"/>
  <c r="AW25" i="97" s="1"/>
  <c r="AY25" i="97" s="1"/>
  <c r="BA25" i="97" s="1"/>
  <c r="BC25" i="97" s="1"/>
  <c r="BG25" i="97" s="1"/>
  <c r="I21" i="97"/>
  <c r="K21" i="97" s="1"/>
  <c r="M21" i="97" s="1"/>
  <c r="O21" i="97" s="1"/>
  <c r="Q21" i="97" s="1"/>
  <c r="S21" i="97" s="1"/>
  <c r="U21" i="97" s="1"/>
  <c r="W21" i="97" s="1"/>
  <c r="Y21" i="97" s="1"/>
  <c r="AA21" i="97" s="1"/>
  <c r="AC21" i="97" s="1"/>
  <c r="AE21" i="97" s="1"/>
  <c r="AG21" i="97" s="1"/>
  <c r="AI21" i="97" s="1"/>
  <c r="AK21" i="97" s="1"/>
  <c r="AM21" i="97" s="1"/>
  <c r="AO21" i="97" s="1"/>
  <c r="AQ21" i="97" s="1"/>
  <c r="AS21" i="97" s="1"/>
  <c r="AU21" i="97" s="1"/>
  <c r="AW21" i="97" s="1"/>
  <c r="AY21" i="97" s="1"/>
  <c r="BA21" i="97" s="1"/>
  <c r="BC21" i="97" s="1"/>
  <c r="BG21" i="97" s="1"/>
  <c r="G69" i="97"/>
  <c r="I69" i="97" s="1"/>
  <c r="K69" i="97" s="1"/>
  <c r="G63" i="97"/>
  <c r="I63" i="97" s="1"/>
  <c r="K63" i="97" s="1"/>
  <c r="G67" i="97"/>
  <c r="I67" i="97" s="1"/>
  <c r="K67" i="97" s="1"/>
  <c r="D63" i="97"/>
  <c r="G65" i="97"/>
  <c r="I65" i="97" s="1"/>
  <c r="K65" i="97" s="1"/>
  <c r="AA76" i="96"/>
  <c r="AA78" i="96"/>
  <c r="BD87" i="96"/>
  <c r="I12" i="97"/>
  <c r="K12" i="97" s="1"/>
  <c r="M12" i="97" s="1"/>
  <c r="O12" i="97" s="1"/>
  <c r="Q12" i="97" s="1"/>
  <c r="S12" i="97" s="1"/>
  <c r="U12" i="97" s="1"/>
  <c r="W12" i="97" s="1"/>
  <c r="Y12" i="97" s="1"/>
  <c r="AA12" i="97" s="1"/>
  <c r="AC12" i="97" s="1"/>
  <c r="AE12" i="97" s="1"/>
  <c r="AG12" i="97" s="1"/>
  <c r="AI12" i="97" s="1"/>
  <c r="AK12" i="97" s="1"/>
  <c r="AM12" i="97" s="1"/>
  <c r="AO12" i="97" s="1"/>
  <c r="AQ12" i="97" s="1"/>
  <c r="AS12" i="97" s="1"/>
  <c r="AU12" i="97" s="1"/>
  <c r="AW12" i="97" s="1"/>
  <c r="AY12" i="97" s="1"/>
  <c r="BA12" i="97" s="1"/>
  <c r="BC12" i="97" s="1"/>
  <c r="BG12" i="97" s="1"/>
  <c r="G57" i="97"/>
  <c r="I57" i="97" s="1"/>
  <c r="K57" i="97" s="1"/>
  <c r="D57" i="97"/>
  <c r="G55" i="97"/>
  <c r="I55" i="97" s="1"/>
  <c r="K55" i="97" s="1"/>
  <c r="G53" i="97"/>
  <c r="G30" i="97"/>
  <c r="I10" i="97"/>
  <c r="BD17" i="97"/>
  <c r="BD14" i="97" l="1"/>
  <c r="I30" i="97"/>
  <c r="K10" i="97"/>
  <c r="M10" i="97" s="1"/>
  <c r="BD12" i="97"/>
  <c r="BD23" i="97"/>
  <c r="I53" i="97"/>
  <c r="G72" i="97"/>
  <c r="BD25" i="97"/>
  <c r="D60" i="97"/>
  <c r="E60" i="97" s="1"/>
  <c r="G60" i="97" s="1"/>
  <c r="I60" i="97" s="1"/>
  <c r="K60" i="97" s="1"/>
  <c r="BD21" i="97"/>
  <c r="BD27" i="97"/>
  <c r="D66" i="97" l="1"/>
  <c r="M30" i="97"/>
  <c r="O10" i="97"/>
  <c r="Q10" i="97" s="1"/>
  <c r="I72" i="97"/>
  <c r="K53" i="97"/>
  <c r="K72" i="97" s="1"/>
  <c r="Q30" i="97" l="1"/>
  <c r="S10" i="97"/>
  <c r="U10" i="97" s="1"/>
  <c r="U30" i="97" l="1"/>
  <c r="W10" i="97"/>
  <c r="Y10" i="97" s="1"/>
  <c r="Y30" i="97" l="1"/>
  <c r="AA10" i="97"/>
  <c r="AC10" i="97" s="1"/>
  <c r="AC30" i="97" l="1"/>
  <c r="AE10" i="97"/>
  <c r="AG10" i="97" s="1"/>
  <c r="AI10" i="97" l="1"/>
  <c r="AK10" i="97" s="1"/>
  <c r="AG30" i="97"/>
  <c r="AK30" i="97" l="1"/>
  <c r="AM10" i="97"/>
  <c r="AO10" i="97" s="1"/>
  <c r="AQ10" i="97" l="1"/>
  <c r="AS10" i="97" s="1"/>
  <c r="AO30" i="97"/>
  <c r="AS30" i="97" l="1"/>
  <c r="AU10" i="97"/>
  <c r="AW10" i="97" s="1"/>
  <c r="AY10" i="97" l="1"/>
  <c r="BA10" i="97" s="1"/>
  <c r="BD10" i="97" s="1"/>
  <c r="BD29" i="97" s="1"/>
  <c r="BD33" i="97" s="1"/>
  <c r="BD34" i="97" s="1"/>
  <c r="AW30" i="97"/>
  <c r="BG31" i="97" l="1"/>
  <c r="L72" i="97"/>
  <c r="M72" i="97" s="1"/>
  <c r="BD48" i="97"/>
  <c r="BG32" i="97"/>
  <c r="BI32" i="97" s="1"/>
  <c r="BA30" i="97"/>
  <c r="BD30" i="97" s="1"/>
  <c r="BC10" i="97"/>
  <c r="BG10" i="97" s="1"/>
  <c r="BG29" i="97" s="1"/>
  <c r="BI29" i="97" s="1"/>
  <c r="BJ29" i="97" s="1"/>
  <c r="BT46" i="98" s="1"/>
  <c r="BT47" i="98" s="1"/>
  <c r="BD56" i="97" l="1"/>
  <c r="BD49" i="97"/>
  <c r="BF39" i="97" s="1"/>
  <c r="E8" i="98"/>
  <c r="BV32" i="98"/>
  <c r="BI48" i="97"/>
  <c r="BI50" i="97" s="1"/>
  <c r="BI57" i="97" s="1"/>
  <c r="BJ57" i="97" s="1"/>
  <c r="BJ58" i="97" s="1"/>
  <c r="BI56" i="97" s="1"/>
  <c r="BI60" i="97"/>
  <c r="Q72" i="97"/>
  <c r="S72" i="97"/>
  <c r="U72" i="97" l="1"/>
  <c r="BI61" i="97"/>
  <c r="BL48" i="97"/>
  <c r="BT32" i="98"/>
  <c r="E51" i="98"/>
  <c r="E11" i="98"/>
  <c r="BD67" i="97"/>
  <c r="BD66" i="97"/>
  <c r="BD68" i="97"/>
  <c r="BD80" i="97"/>
  <c r="BD73" i="97"/>
  <c r="BD63" i="97"/>
  <c r="BD60" i="97"/>
  <c r="BD69" i="97"/>
  <c r="BD58" i="97"/>
  <c r="CK25" i="97" s="1"/>
  <c r="CK26" i="97" s="1"/>
  <c r="CK27" i="97" s="1"/>
  <c r="CK28" i="97" s="1"/>
  <c r="CK29" i="97" s="1"/>
  <c r="CK30" i="97" s="1"/>
  <c r="CK31" i="97" s="1"/>
  <c r="CK32" i="97" s="1"/>
  <c r="CK33" i="97" s="1"/>
  <c r="CK34" i="97" s="1"/>
  <c r="CK35" i="97" s="1"/>
  <c r="CK36" i="97" s="1"/>
  <c r="CK37" i="97" s="1"/>
  <c r="CK38" i="97" s="1"/>
  <c r="CK39" i="97" s="1"/>
  <c r="CK40" i="97" s="1"/>
  <c r="CK41" i="97" s="1"/>
  <c r="CK42" i="97" s="1"/>
  <c r="CK43" i="97" s="1"/>
  <c r="CK44" i="97" s="1"/>
  <c r="CK45" i="97" s="1"/>
  <c r="CK46" i="97" s="1"/>
  <c r="CK47" i="97" s="1"/>
  <c r="CK48" i="97" s="1"/>
  <c r="CK49" i="97" s="1"/>
  <c r="CK50" i="97" s="1"/>
  <c r="CK51" i="97" s="1"/>
  <c r="CK52" i="97" s="1"/>
  <c r="CK53" i="97" s="1"/>
  <c r="CK54" i="97" s="1"/>
  <c r="CK55" i="97" s="1"/>
  <c r="BD76" i="97"/>
  <c r="BD72" i="97"/>
  <c r="BD70" i="97"/>
  <c r="BD77" i="97"/>
  <c r="E12" i="110" s="1"/>
  <c r="BD61" i="97"/>
  <c r="BD78" i="97"/>
  <c r="E12" i="109" s="1"/>
  <c r="BD74" i="97"/>
  <c r="BD71" i="97"/>
  <c r="BD81" i="97"/>
  <c r="BD75" i="97"/>
  <c r="BD62" i="97"/>
  <c r="BD79" i="97"/>
  <c r="E13" i="108" s="1"/>
  <c r="BD59" i="97"/>
  <c r="BE65" i="97"/>
  <c r="BE82" i="97" s="1"/>
  <c r="E17" i="98" l="1"/>
  <c r="G17" i="98" s="1"/>
  <c r="E5" i="98"/>
  <c r="G5" i="98" s="1"/>
  <c r="E21" i="98"/>
  <c r="E14" i="98"/>
  <c r="BE83" i="97"/>
  <c r="BD83" i="97" s="1"/>
  <c r="BD84" i="97" s="1"/>
  <c r="Y72" i="97"/>
  <c r="AA72" i="97" s="1"/>
  <c r="BD85" i="97"/>
  <c r="AA76" i="97" l="1"/>
  <c r="BD87" i="97"/>
  <c r="AA78" i="97"/>
  <c r="BE84" i="97"/>
  <c r="G14" i="98"/>
  <c r="G10" i="98"/>
  <c r="G12" i="98"/>
  <c r="E57" i="98"/>
  <c r="E63" i="98"/>
  <c r="G23" i="98"/>
  <c r="G27" i="98"/>
  <c r="G21" i="98"/>
  <c r="G25" i="98"/>
  <c r="I5" i="98"/>
  <c r="K5" i="98" s="1"/>
  <c r="M5" i="98" s="1"/>
  <c r="O5" i="98" s="1"/>
  <c r="Q5" i="98" s="1"/>
  <c r="S5" i="98" s="1"/>
  <c r="U5" i="98" s="1"/>
  <c r="W5" i="98" s="1"/>
  <c r="Y5" i="98" s="1"/>
  <c r="AA5" i="98" s="1"/>
  <c r="AC5" i="98" s="1"/>
  <c r="AE5" i="98" s="1"/>
  <c r="AG5" i="98" s="1"/>
  <c r="AI5" i="98" s="1"/>
  <c r="AK5" i="98" s="1"/>
  <c r="AM5" i="98" s="1"/>
  <c r="AO5" i="98" s="1"/>
  <c r="AQ5" i="98" s="1"/>
  <c r="AS5" i="98" s="1"/>
  <c r="AU5" i="98" s="1"/>
  <c r="AW5" i="98" s="1"/>
  <c r="AY5" i="98" s="1"/>
  <c r="BA5" i="98" s="1"/>
  <c r="BC5" i="98" s="1"/>
  <c r="BE5" i="98" s="1"/>
  <c r="BG5" i="98" s="1"/>
  <c r="BI5" i="98" s="1"/>
  <c r="BK5" i="98" s="1"/>
  <c r="BM5" i="98" s="1"/>
  <c r="BO5" i="98" s="1"/>
  <c r="BQ5" i="98" s="1"/>
  <c r="BS5" i="98" s="1"/>
  <c r="BW5" i="98" s="1"/>
  <c r="BZ28" i="98" s="1"/>
  <c r="I17" i="98"/>
  <c r="K17" i="98" s="1"/>
  <c r="M17" i="98" s="1"/>
  <c r="O17" i="98" s="1"/>
  <c r="Q17" i="98" s="1"/>
  <c r="S17" i="98" s="1"/>
  <c r="U17" i="98" s="1"/>
  <c r="W17" i="98" s="1"/>
  <c r="Y17" i="98" s="1"/>
  <c r="AA17" i="98" s="1"/>
  <c r="AC17" i="98" s="1"/>
  <c r="AE17" i="98" s="1"/>
  <c r="AG17" i="98" s="1"/>
  <c r="AI17" i="98" s="1"/>
  <c r="AK17" i="98" s="1"/>
  <c r="AM17" i="98" s="1"/>
  <c r="AO17" i="98" s="1"/>
  <c r="AQ17" i="98" s="1"/>
  <c r="AS17" i="98" s="1"/>
  <c r="AU17" i="98" s="1"/>
  <c r="AW17" i="98" s="1"/>
  <c r="AY17" i="98" s="1"/>
  <c r="BA17" i="98" s="1"/>
  <c r="BC17" i="98" s="1"/>
  <c r="BE17" i="98" s="1"/>
  <c r="BG17" i="98" s="1"/>
  <c r="BI17" i="98" s="1"/>
  <c r="BK17" i="98" s="1"/>
  <c r="BM17" i="98" s="1"/>
  <c r="BO17" i="98" s="1"/>
  <c r="BQ17" i="98" s="1"/>
  <c r="BS17" i="98" s="1"/>
  <c r="BW17" i="98" s="1"/>
  <c r="BT17" i="98" l="1"/>
  <c r="G53" i="98"/>
  <c r="G57" i="98"/>
  <c r="I57" i="98" s="1"/>
  <c r="K57" i="98" s="1"/>
  <c r="D57" i="98"/>
  <c r="G55" i="98"/>
  <c r="I55" i="98" s="1"/>
  <c r="K55" i="98" s="1"/>
  <c r="I12" i="98"/>
  <c r="K12" i="98" s="1"/>
  <c r="M12" i="98" s="1"/>
  <c r="O12" i="98" s="1"/>
  <c r="Q12" i="98" s="1"/>
  <c r="S12" i="98" s="1"/>
  <c r="U12" i="98" s="1"/>
  <c r="W12" i="98" s="1"/>
  <c r="Y12" i="98" s="1"/>
  <c r="AA12" i="98" s="1"/>
  <c r="AC12" i="98" s="1"/>
  <c r="AE12" i="98" s="1"/>
  <c r="AG12" i="98" s="1"/>
  <c r="AI12" i="98" s="1"/>
  <c r="AK12" i="98" s="1"/>
  <c r="AM12" i="98" s="1"/>
  <c r="AO12" i="98" s="1"/>
  <c r="AQ12" i="98" s="1"/>
  <c r="AS12" i="98" s="1"/>
  <c r="AU12" i="98" s="1"/>
  <c r="AW12" i="98" s="1"/>
  <c r="AY12" i="98" s="1"/>
  <c r="BA12" i="98" s="1"/>
  <c r="BC12" i="98" s="1"/>
  <c r="BE12" i="98" s="1"/>
  <c r="BG12" i="98" s="1"/>
  <c r="BI12" i="98" s="1"/>
  <c r="BK12" i="98" s="1"/>
  <c r="BM12" i="98" s="1"/>
  <c r="BO12" i="98" s="1"/>
  <c r="BQ12" i="98" s="1"/>
  <c r="BS12" i="98" s="1"/>
  <c r="BW12" i="98" s="1"/>
  <c r="BT5" i="98"/>
  <c r="I10" i="98"/>
  <c r="G30" i="98"/>
  <c r="I25" i="98"/>
  <c r="K25" i="98" s="1"/>
  <c r="M25" i="98" s="1"/>
  <c r="O25" i="98" s="1"/>
  <c r="Q25" i="98" s="1"/>
  <c r="S25" i="98" s="1"/>
  <c r="U25" i="98" s="1"/>
  <c r="W25" i="98" s="1"/>
  <c r="Y25" i="98" s="1"/>
  <c r="AA25" i="98" s="1"/>
  <c r="AC25" i="98" s="1"/>
  <c r="AE25" i="98" s="1"/>
  <c r="AG25" i="98" s="1"/>
  <c r="AI25" i="98" s="1"/>
  <c r="AK25" i="98" s="1"/>
  <c r="AM25" i="98" s="1"/>
  <c r="AO25" i="98" s="1"/>
  <c r="AQ25" i="98" s="1"/>
  <c r="AS25" i="98" s="1"/>
  <c r="AU25" i="98" s="1"/>
  <c r="AW25" i="98" s="1"/>
  <c r="AY25" i="98" s="1"/>
  <c r="BA25" i="98" s="1"/>
  <c r="BC25" i="98" s="1"/>
  <c r="BE25" i="98" s="1"/>
  <c r="BG25" i="98" s="1"/>
  <c r="BI25" i="98" s="1"/>
  <c r="BK25" i="98" s="1"/>
  <c r="BM25" i="98" s="1"/>
  <c r="BO25" i="98" s="1"/>
  <c r="BQ25" i="98" s="1"/>
  <c r="BS25" i="98" s="1"/>
  <c r="BW25" i="98" s="1"/>
  <c r="I14" i="98"/>
  <c r="K14" i="98" s="1"/>
  <c r="M14" i="98" s="1"/>
  <c r="O14" i="98" s="1"/>
  <c r="Q14" i="98" s="1"/>
  <c r="S14" i="98" s="1"/>
  <c r="U14" i="98" s="1"/>
  <c r="W14" i="98" s="1"/>
  <c r="Y14" i="98" s="1"/>
  <c r="AA14" i="98" s="1"/>
  <c r="AC14" i="98" s="1"/>
  <c r="AE14" i="98" s="1"/>
  <c r="AG14" i="98" s="1"/>
  <c r="AI14" i="98" s="1"/>
  <c r="AK14" i="98" s="1"/>
  <c r="AM14" i="98" s="1"/>
  <c r="AO14" i="98" s="1"/>
  <c r="AQ14" i="98" s="1"/>
  <c r="AS14" i="98" s="1"/>
  <c r="AU14" i="98" s="1"/>
  <c r="AW14" i="98" s="1"/>
  <c r="AY14" i="98" s="1"/>
  <c r="BA14" i="98" s="1"/>
  <c r="BC14" i="98" s="1"/>
  <c r="BE14" i="98" s="1"/>
  <c r="BG14" i="98" s="1"/>
  <c r="BI14" i="98" s="1"/>
  <c r="BK14" i="98" s="1"/>
  <c r="BM14" i="98" s="1"/>
  <c r="BO14" i="98" s="1"/>
  <c r="BQ14" i="98" s="1"/>
  <c r="BS14" i="98" s="1"/>
  <c r="BW14" i="98" s="1"/>
  <c r="I21" i="98"/>
  <c r="K21" i="98" s="1"/>
  <c r="M21" i="98" s="1"/>
  <c r="O21" i="98" s="1"/>
  <c r="Q21" i="98" s="1"/>
  <c r="S21" i="98" s="1"/>
  <c r="U21" i="98" s="1"/>
  <c r="W21" i="98" s="1"/>
  <c r="Y21" i="98" s="1"/>
  <c r="AA21" i="98" s="1"/>
  <c r="AC21" i="98" s="1"/>
  <c r="AE21" i="98" s="1"/>
  <c r="AG21" i="98" s="1"/>
  <c r="AI21" i="98" s="1"/>
  <c r="AK21" i="98" s="1"/>
  <c r="AM21" i="98" s="1"/>
  <c r="AO21" i="98" s="1"/>
  <c r="AQ21" i="98" s="1"/>
  <c r="AS21" i="98" s="1"/>
  <c r="AU21" i="98" s="1"/>
  <c r="AW21" i="98" s="1"/>
  <c r="AY21" i="98" s="1"/>
  <c r="BA21" i="98" s="1"/>
  <c r="BC21" i="98" s="1"/>
  <c r="BE21" i="98" s="1"/>
  <c r="BG21" i="98" s="1"/>
  <c r="BI21" i="98" s="1"/>
  <c r="BK21" i="98" s="1"/>
  <c r="BM21" i="98" s="1"/>
  <c r="BO21" i="98" s="1"/>
  <c r="BQ21" i="98" s="1"/>
  <c r="BS21" i="98" s="1"/>
  <c r="BW21" i="98" s="1"/>
  <c r="I27" i="98"/>
  <c r="K27" i="98" s="1"/>
  <c r="M27" i="98" s="1"/>
  <c r="O27" i="98" s="1"/>
  <c r="Q27" i="98" s="1"/>
  <c r="S27" i="98" s="1"/>
  <c r="U27" i="98" s="1"/>
  <c r="W27" i="98" s="1"/>
  <c r="Y27" i="98" s="1"/>
  <c r="AA27" i="98" s="1"/>
  <c r="AC27" i="98" s="1"/>
  <c r="AE27" i="98" s="1"/>
  <c r="AG27" i="98" s="1"/>
  <c r="AI27" i="98" s="1"/>
  <c r="AK27" i="98" s="1"/>
  <c r="AM27" i="98" s="1"/>
  <c r="AO27" i="98" s="1"/>
  <c r="AQ27" i="98" s="1"/>
  <c r="AS27" i="98" s="1"/>
  <c r="AU27" i="98" s="1"/>
  <c r="AW27" i="98" s="1"/>
  <c r="AY27" i="98" s="1"/>
  <c r="BA27" i="98" s="1"/>
  <c r="BC27" i="98" s="1"/>
  <c r="BE27" i="98" s="1"/>
  <c r="BG27" i="98" s="1"/>
  <c r="BI27" i="98" s="1"/>
  <c r="BK27" i="98" s="1"/>
  <c r="BM27" i="98" s="1"/>
  <c r="BO27" i="98" s="1"/>
  <c r="BQ27" i="98" s="1"/>
  <c r="BS27" i="98" s="1"/>
  <c r="BW27" i="98" s="1"/>
  <c r="I23" i="98"/>
  <c r="K23" i="98" s="1"/>
  <c r="M23" i="98" s="1"/>
  <c r="O23" i="98" s="1"/>
  <c r="Q23" i="98" s="1"/>
  <c r="S23" i="98" s="1"/>
  <c r="U23" i="98" s="1"/>
  <c r="W23" i="98" s="1"/>
  <c r="Y23" i="98" s="1"/>
  <c r="AA23" i="98" s="1"/>
  <c r="AC23" i="98" s="1"/>
  <c r="AE23" i="98" s="1"/>
  <c r="AG23" i="98" s="1"/>
  <c r="AI23" i="98" s="1"/>
  <c r="AK23" i="98" s="1"/>
  <c r="AM23" i="98" s="1"/>
  <c r="AO23" i="98" s="1"/>
  <c r="AQ23" i="98" s="1"/>
  <c r="AS23" i="98" s="1"/>
  <c r="AU23" i="98" s="1"/>
  <c r="AW23" i="98" s="1"/>
  <c r="AY23" i="98" s="1"/>
  <c r="BA23" i="98" s="1"/>
  <c r="BC23" i="98" s="1"/>
  <c r="BE23" i="98" s="1"/>
  <c r="BG23" i="98" s="1"/>
  <c r="BI23" i="98" s="1"/>
  <c r="BK23" i="98" s="1"/>
  <c r="BM23" i="98" s="1"/>
  <c r="BO23" i="98" s="1"/>
  <c r="BQ23" i="98" s="1"/>
  <c r="BS23" i="98" s="1"/>
  <c r="BW23" i="98" s="1"/>
  <c r="G65" i="98"/>
  <c r="I65" i="98" s="1"/>
  <c r="K65" i="98" s="1"/>
  <c r="G67" i="98"/>
  <c r="I67" i="98" s="1"/>
  <c r="K67" i="98" s="1"/>
  <c r="D63" i="98"/>
  <c r="G69" i="98"/>
  <c r="I69" i="98" s="1"/>
  <c r="K69" i="98" s="1"/>
  <c r="G63" i="98"/>
  <c r="I63" i="98" s="1"/>
  <c r="K63" i="98" s="1"/>
  <c r="BT14" i="98" l="1"/>
  <c r="BT12" i="98"/>
  <c r="BT21" i="98"/>
  <c r="BT23" i="98"/>
  <c r="BT25" i="98"/>
  <c r="D60" i="98"/>
  <c r="E60" i="98" s="1"/>
  <c r="G60" i="98" s="1"/>
  <c r="I60" i="98" s="1"/>
  <c r="K60" i="98" s="1"/>
  <c r="BT27" i="98"/>
  <c r="K10" i="98"/>
  <c r="M10" i="98" s="1"/>
  <c r="I30" i="98"/>
  <c r="I53" i="98"/>
  <c r="D66" i="98" l="1"/>
  <c r="I72" i="98"/>
  <c r="K53" i="98"/>
  <c r="K72" i="98" s="1"/>
  <c r="G72" i="98"/>
  <c r="O10" i="98"/>
  <c r="Q10" i="98" s="1"/>
  <c r="M30" i="98"/>
  <c r="S10" i="98" l="1"/>
  <c r="U10" i="98" s="1"/>
  <c r="Q30" i="98"/>
  <c r="W10" i="98" l="1"/>
  <c r="Y10" i="98" s="1"/>
  <c r="U30" i="98"/>
  <c r="AA10" i="98" l="1"/>
  <c r="AC10" i="98" s="1"/>
  <c r="Y30" i="98"/>
  <c r="AE10" i="98" l="1"/>
  <c r="AG10" i="98" s="1"/>
  <c r="AC30" i="98"/>
  <c r="AI10" i="98" l="1"/>
  <c r="AK10" i="98" s="1"/>
  <c r="AG30" i="98"/>
  <c r="AK30" i="98" l="1"/>
  <c r="AM10" i="98"/>
  <c r="AO10" i="98" s="1"/>
  <c r="AQ10" i="98" l="1"/>
  <c r="AS10" i="98" s="1"/>
  <c r="AO30" i="98"/>
  <c r="AU10" i="98" l="1"/>
  <c r="AW10" i="98" s="1"/>
  <c r="AS30" i="98"/>
  <c r="AW30" i="98" l="1"/>
  <c r="AY10" i="98"/>
  <c r="BA10" i="98" s="1"/>
  <c r="BA30" i="98" l="1"/>
  <c r="BC10" i="98"/>
  <c r="BE10" i="98" s="1"/>
  <c r="BG10" i="98" l="1"/>
  <c r="BI10" i="98" s="1"/>
  <c r="BE30" i="98"/>
  <c r="BI30" i="98" l="1"/>
  <c r="BK10" i="98"/>
  <c r="BM10" i="98" s="1"/>
  <c r="BM30" i="98" l="1"/>
  <c r="BO10" i="98"/>
  <c r="BQ10" i="98" s="1"/>
  <c r="BS10" i="98" l="1"/>
  <c r="BW10" i="98" s="1"/>
  <c r="BW29" i="98" s="1"/>
  <c r="BY29" i="98" s="1"/>
  <c r="BZ29" i="98" s="1"/>
  <c r="BT46" i="100" s="1"/>
  <c r="BT47" i="100" s="1"/>
  <c r="BQ30" i="98"/>
  <c r="BT30" i="98" s="1"/>
  <c r="BT10" i="98"/>
  <c r="BT29" i="98" s="1"/>
  <c r="BT33" i="98" s="1"/>
  <c r="BT34" i="98" s="1"/>
  <c r="L72" i="98" l="1"/>
  <c r="M72" i="98" s="1"/>
  <c r="BW31" i="98"/>
  <c r="BT48" i="98"/>
  <c r="BW32" i="98"/>
  <c r="BY32" i="98" s="1"/>
  <c r="BV32" i="100"/>
  <c r="E8" i="100"/>
  <c r="E51" i="100" l="1"/>
  <c r="BT32" i="100"/>
  <c r="E11" i="100"/>
  <c r="BT49" i="98"/>
  <c r="BV39" i="98" s="1"/>
  <c r="BT56" i="98"/>
  <c r="BY48" i="98"/>
  <c r="BY50" i="98" s="1"/>
  <c r="BY57" i="98" s="1"/>
  <c r="BZ57" i="98" s="1"/>
  <c r="BZ58" i="98" s="1"/>
  <c r="BY56" i="98" s="1"/>
  <c r="BY60" i="98"/>
  <c r="Q72" i="98"/>
  <c r="S72" i="98"/>
  <c r="BY61" i="98" l="1"/>
  <c r="CB48" i="98"/>
  <c r="BT66" i="98"/>
  <c r="BT61" i="98"/>
  <c r="BT70" i="98"/>
  <c r="BT68" i="98"/>
  <c r="BT73" i="98"/>
  <c r="BT71" i="98"/>
  <c r="BT58" i="98"/>
  <c r="DA25" i="98" s="1"/>
  <c r="DA26" i="98" s="1"/>
  <c r="DA27" i="98" s="1"/>
  <c r="DA28" i="98" s="1"/>
  <c r="DA29" i="98" s="1"/>
  <c r="DA30" i="98" s="1"/>
  <c r="DA31" i="98" s="1"/>
  <c r="DA32" i="98" s="1"/>
  <c r="DA33" i="98" s="1"/>
  <c r="DA34" i="98" s="1"/>
  <c r="DA35" i="98" s="1"/>
  <c r="DA36" i="98" s="1"/>
  <c r="DA37" i="98" s="1"/>
  <c r="DA38" i="98" s="1"/>
  <c r="DA39" i="98" s="1"/>
  <c r="DA40" i="98" s="1"/>
  <c r="DA41" i="98" s="1"/>
  <c r="DA42" i="98" s="1"/>
  <c r="DA43" i="98" s="1"/>
  <c r="DA44" i="98" s="1"/>
  <c r="DA45" i="98" s="1"/>
  <c r="DA46" i="98" s="1"/>
  <c r="DA47" i="98" s="1"/>
  <c r="DA48" i="98" s="1"/>
  <c r="DA49" i="98" s="1"/>
  <c r="DA50" i="98" s="1"/>
  <c r="DA51" i="98" s="1"/>
  <c r="DA52" i="98" s="1"/>
  <c r="DA53" i="98" s="1"/>
  <c r="DA54" i="98" s="1"/>
  <c r="DA55" i="98" s="1"/>
  <c r="BT80" i="98"/>
  <c r="BT79" i="98"/>
  <c r="E14" i="108" s="1"/>
  <c r="BT75" i="98"/>
  <c r="BT67" i="98"/>
  <c r="BT62" i="98"/>
  <c r="BT59" i="98"/>
  <c r="BT69" i="98"/>
  <c r="BT60" i="98"/>
  <c r="BT76" i="98"/>
  <c r="BU65" i="98"/>
  <c r="BU82" i="98" s="1"/>
  <c r="BT72" i="98"/>
  <c r="BT77" i="98"/>
  <c r="E13" i="110" s="1"/>
  <c r="BT74" i="98"/>
  <c r="BT63" i="98"/>
  <c r="BT81" i="98"/>
  <c r="BT78" i="98"/>
  <c r="E13" i="109" s="1"/>
  <c r="E21" i="100"/>
  <c r="E14" i="100"/>
  <c r="E17" i="100"/>
  <c r="G17" i="100" s="1"/>
  <c r="E5" i="100"/>
  <c r="G5" i="100" s="1"/>
  <c r="U72" i="98"/>
  <c r="Y72" i="98" l="1"/>
  <c r="AA72" i="98" s="1"/>
  <c r="BT85" i="98"/>
  <c r="I5" i="100"/>
  <c r="K5" i="100" s="1"/>
  <c r="M5" i="100" s="1"/>
  <c r="O5" i="100" s="1"/>
  <c r="Q5" i="100" s="1"/>
  <c r="S5" i="100" s="1"/>
  <c r="U5" i="100" s="1"/>
  <c r="W5" i="100" s="1"/>
  <c r="Y5" i="100" s="1"/>
  <c r="AA5" i="100" s="1"/>
  <c r="AC5" i="100" s="1"/>
  <c r="AE5" i="100" s="1"/>
  <c r="AG5" i="100" s="1"/>
  <c r="AI5" i="100" s="1"/>
  <c r="AK5" i="100" s="1"/>
  <c r="AM5" i="100" s="1"/>
  <c r="AO5" i="100" s="1"/>
  <c r="AQ5" i="100" s="1"/>
  <c r="AS5" i="100" s="1"/>
  <c r="AU5" i="100" s="1"/>
  <c r="AW5" i="100" s="1"/>
  <c r="AY5" i="100" s="1"/>
  <c r="BA5" i="100" s="1"/>
  <c r="BC5" i="100" s="1"/>
  <c r="BE5" i="100" s="1"/>
  <c r="BG5" i="100" s="1"/>
  <c r="BI5" i="100" s="1"/>
  <c r="BK5" i="100" s="1"/>
  <c r="BM5" i="100" s="1"/>
  <c r="BO5" i="100" s="1"/>
  <c r="BQ5" i="100" s="1"/>
  <c r="BS5" i="100" s="1"/>
  <c r="BW5" i="100" s="1"/>
  <c r="BZ28" i="100" s="1"/>
  <c r="E57" i="100"/>
  <c r="G12" i="100"/>
  <c r="G10" i="100"/>
  <c r="G14" i="100"/>
  <c r="BU83" i="98"/>
  <c r="BT83" i="98" s="1"/>
  <c r="BT84" i="98" s="1"/>
  <c r="E63" i="100"/>
  <c r="G23" i="100"/>
  <c r="G25" i="100"/>
  <c r="G21" i="100"/>
  <c r="G27" i="100"/>
  <c r="I17" i="100"/>
  <c r="K17" i="100" s="1"/>
  <c r="M17" i="100" s="1"/>
  <c r="O17" i="100" s="1"/>
  <c r="Q17" i="100" s="1"/>
  <c r="S17" i="100" s="1"/>
  <c r="U17" i="100" s="1"/>
  <c r="W17" i="100" s="1"/>
  <c r="Y17" i="100" s="1"/>
  <c r="AA17" i="100" s="1"/>
  <c r="AC17" i="100" s="1"/>
  <c r="AE17" i="100" s="1"/>
  <c r="AG17" i="100" s="1"/>
  <c r="AI17" i="100" s="1"/>
  <c r="AK17" i="100" s="1"/>
  <c r="AM17" i="100" s="1"/>
  <c r="AO17" i="100" s="1"/>
  <c r="AQ17" i="100" s="1"/>
  <c r="AS17" i="100" s="1"/>
  <c r="AU17" i="100" s="1"/>
  <c r="AW17" i="100" s="1"/>
  <c r="AY17" i="100" s="1"/>
  <c r="BA17" i="100" s="1"/>
  <c r="BC17" i="100" s="1"/>
  <c r="BE17" i="100" s="1"/>
  <c r="BG17" i="100" s="1"/>
  <c r="BI17" i="100" s="1"/>
  <c r="BK17" i="100" s="1"/>
  <c r="BM17" i="100" s="1"/>
  <c r="BO17" i="100" s="1"/>
  <c r="BQ17" i="100" s="1"/>
  <c r="BS17" i="100" s="1"/>
  <c r="BW17" i="100" s="1"/>
  <c r="BU84" i="98" l="1"/>
  <c r="I14" i="100"/>
  <c r="K14" i="100" s="1"/>
  <c r="M14" i="100" s="1"/>
  <c r="O14" i="100" s="1"/>
  <c r="Q14" i="100" s="1"/>
  <c r="S14" i="100" s="1"/>
  <c r="U14" i="100" s="1"/>
  <c r="W14" i="100" s="1"/>
  <c r="Y14" i="100" s="1"/>
  <c r="AA14" i="100" s="1"/>
  <c r="AC14" i="100" s="1"/>
  <c r="AE14" i="100" s="1"/>
  <c r="AG14" i="100" s="1"/>
  <c r="AI14" i="100" s="1"/>
  <c r="AK14" i="100" s="1"/>
  <c r="AM14" i="100" s="1"/>
  <c r="AO14" i="100" s="1"/>
  <c r="AQ14" i="100" s="1"/>
  <c r="AS14" i="100" s="1"/>
  <c r="AU14" i="100" s="1"/>
  <c r="AW14" i="100" s="1"/>
  <c r="AY14" i="100" s="1"/>
  <c r="BA14" i="100" s="1"/>
  <c r="BC14" i="100" s="1"/>
  <c r="BE14" i="100" s="1"/>
  <c r="BG14" i="100" s="1"/>
  <c r="BI14" i="100" s="1"/>
  <c r="BK14" i="100" s="1"/>
  <c r="BM14" i="100" s="1"/>
  <c r="BO14" i="100" s="1"/>
  <c r="BQ14" i="100" s="1"/>
  <c r="BS14" i="100" s="1"/>
  <c r="BW14" i="100" s="1"/>
  <c r="I27" i="100"/>
  <c r="K27" i="100" s="1"/>
  <c r="M27" i="100" s="1"/>
  <c r="O27" i="100" s="1"/>
  <c r="Q27" i="100" s="1"/>
  <c r="S27" i="100" s="1"/>
  <c r="U27" i="100" s="1"/>
  <c r="W27" i="100" s="1"/>
  <c r="Y27" i="100" s="1"/>
  <c r="AA27" i="100" s="1"/>
  <c r="AC27" i="100" s="1"/>
  <c r="AE27" i="100" s="1"/>
  <c r="AG27" i="100" s="1"/>
  <c r="AI27" i="100" s="1"/>
  <c r="AK27" i="100" s="1"/>
  <c r="AM27" i="100" s="1"/>
  <c r="AO27" i="100" s="1"/>
  <c r="AQ27" i="100" s="1"/>
  <c r="AS27" i="100" s="1"/>
  <c r="AU27" i="100" s="1"/>
  <c r="AW27" i="100" s="1"/>
  <c r="AY27" i="100" s="1"/>
  <c r="BA27" i="100" s="1"/>
  <c r="BC27" i="100" s="1"/>
  <c r="BE27" i="100" s="1"/>
  <c r="BG27" i="100" s="1"/>
  <c r="BI27" i="100" s="1"/>
  <c r="BK27" i="100" s="1"/>
  <c r="BM27" i="100" s="1"/>
  <c r="BO27" i="100" s="1"/>
  <c r="BQ27" i="100" s="1"/>
  <c r="BS27" i="100" s="1"/>
  <c r="BW27" i="100" s="1"/>
  <c r="G30" i="100"/>
  <c r="I10" i="100"/>
  <c r="I21" i="100"/>
  <c r="K21" i="100" s="1"/>
  <c r="M21" i="100" s="1"/>
  <c r="O21" i="100" s="1"/>
  <c r="Q21" i="100" s="1"/>
  <c r="S21" i="100" s="1"/>
  <c r="U21" i="100" s="1"/>
  <c r="W21" i="100" s="1"/>
  <c r="Y21" i="100" s="1"/>
  <c r="AA21" i="100" s="1"/>
  <c r="AC21" i="100" s="1"/>
  <c r="AE21" i="100" s="1"/>
  <c r="AG21" i="100" s="1"/>
  <c r="AI21" i="100" s="1"/>
  <c r="AK21" i="100" s="1"/>
  <c r="AM21" i="100" s="1"/>
  <c r="AO21" i="100" s="1"/>
  <c r="AQ21" i="100" s="1"/>
  <c r="AS21" i="100" s="1"/>
  <c r="AU21" i="100" s="1"/>
  <c r="AW21" i="100" s="1"/>
  <c r="AY21" i="100" s="1"/>
  <c r="BA21" i="100" s="1"/>
  <c r="BC21" i="100" s="1"/>
  <c r="BE21" i="100" s="1"/>
  <c r="BG21" i="100" s="1"/>
  <c r="BI21" i="100" s="1"/>
  <c r="BK21" i="100" s="1"/>
  <c r="BM21" i="100" s="1"/>
  <c r="BO21" i="100" s="1"/>
  <c r="BQ21" i="100" s="1"/>
  <c r="BS21" i="100" s="1"/>
  <c r="BW21" i="100" s="1"/>
  <c r="I12" i="100"/>
  <c r="K12" i="100" s="1"/>
  <c r="M12" i="100" s="1"/>
  <c r="O12" i="100" s="1"/>
  <c r="Q12" i="100" s="1"/>
  <c r="S12" i="100" s="1"/>
  <c r="U12" i="100" s="1"/>
  <c r="W12" i="100" s="1"/>
  <c r="Y12" i="100" s="1"/>
  <c r="AA12" i="100" s="1"/>
  <c r="AC12" i="100" s="1"/>
  <c r="AE12" i="100" s="1"/>
  <c r="AG12" i="100" s="1"/>
  <c r="AI12" i="100" s="1"/>
  <c r="AK12" i="100" s="1"/>
  <c r="AM12" i="100" s="1"/>
  <c r="AO12" i="100" s="1"/>
  <c r="AQ12" i="100" s="1"/>
  <c r="AS12" i="100" s="1"/>
  <c r="AU12" i="100" s="1"/>
  <c r="AW12" i="100" s="1"/>
  <c r="AY12" i="100" s="1"/>
  <c r="BA12" i="100" s="1"/>
  <c r="BC12" i="100" s="1"/>
  <c r="BE12" i="100" s="1"/>
  <c r="BG12" i="100" s="1"/>
  <c r="BI12" i="100" s="1"/>
  <c r="BK12" i="100" s="1"/>
  <c r="BM12" i="100" s="1"/>
  <c r="BO12" i="100" s="1"/>
  <c r="BQ12" i="100" s="1"/>
  <c r="BS12" i="100" s="1"/>
  <c r="BW12" i="100" s="1"/>
  <c r="I25" i="100"/>
  <c r="K25" i="100" s="1"/>
  <c r="M25" i="100" s="1"/>
  <c r="O25" i="100" s="1"/>
  <c r="Q25" i="100" s="1"/>
  <c r="S25" i="100" s="1"/>
  <c r="U25" i="100" s="1"/>
  <c r="W25" i="100" s="1"/>
  <c r="Y25" i="100" s="1"/>
  <c r="AA25" i="100" s="1"/>
  <c r="AC25" i="100" s="1"/>
  <c r="AE25" i="100" s="1"/>
  <c r="AG25" i="100" s="1"/>
  <c r="AI25" i="100" s="1"/>
  <c r="AK25" i="100" s="1"/>
  <c r="AM25" i="100" s="1"/>
  <c r="AO25" i="100" s="1"/>
  <c r="AQ25" i="100" s="1"/>
  <c r="AS25" i="100" s="1"/>
  <c r="AU25" i="100" s="1"/>
  <c r="AW25" i="100" s="1"/>
  <c r="AY25" i="100" s="1"/>
  <c r="BA25" i="100" s="1"/>
  <c r="BC25" i="100" s="1"/>
  <c r="BE25" i="100" s="1"/>
  <c r="BG25" i="100" s="1"/>
  <c r="BI25" i="100" s="1"/>
  <c r="BK25" i="100" s="1"/>
  <c r="BM25" i="100" s="1"/>
  <c r="BO25" i="100" s="1"/>
  <c r="BQ25" i="100" s="1"/>
  <c r="BS25" i="100" s="1"/>
  <c r="BW25" i="100" s="1"/>
  <c r="G57" i="100"/>
  <c r="I57" i="100" s="1"/>
  <c r="K57" i="100" s="1"/>
  <c r="G55" i="100"/>
  <c r="I55" i="100" s="1"/>
  <c r="K55" i="100" s="1"/>
  <c r="D57" i="100"/>
  <c r="G53" i="100"/>
  <c r="I23" i="100"/>
  <c r="K23" i="100" s="1"/>
  <c r="M23" i="100" s="1"/>
  <c r="O23" i="100" s="1"/>
  <c r="Q23" i="100" s="1"/>
  <c r="S23" i="100" s="1"/>
  <c r="U23" i="100" s="1"/>
  <c r="W23" i="100" s="1"/>
  <c r="Y23" i="100" s="1"/>
  <c r="AA23" i="100" s="1"/>
  <c r="AC23" i="100" s="1"/>
  <c r="AE23" i="100" s="1"/>
  <c r="AG23" i="100" s="1"/>
  <c r="AI23" i="100" s="1"/>
  <c r="AK23" i="100" s="1"/>
  <c r="AM23" i="100" s="1"/>
  <c r="AO23" i="100" s="1"/>
  <c r="AQ23" i="100" s="1"/>
  <c r="AS23" i="100" s="1"/>
  <c r="AU23" i="100" s="1"/>
  <c r="AW23" i="100" s="1"/>
  <c r="AY23" i="100" s="1"/>
  <c r="BA23" i="100" s="1"/>
  <c r="BC23" i="100" s="1"/>
  <c r="BE23" i="100" s="1"/>
  <c r="BG23" i="100" s="1"/>
  <c r="BI23" i="100" s="1"/>
  <c r="BK23" i="100" s="1"/>
  <c r="BM23" i="100" s="1"/>
  <c r="BO23" i="100" s="1"/>
  <c r="BQ23" i="100" s="1"/>
  <c r="BS23" i="100" s="1"/>
  <c r="BW23" i="100" s="1"/>
  <c r="BT5" i="100"/>
  <c r="G67" i="100"/>
  <c r="I67" i="100" s="1"/>
  <c r="K67" i="100" s="1"/>
  <c r="G65" i="100"/>
  <c r="I65" i="100" s="1"/>
  <c r="K65" i="100" s="1"/>
  <c r="G63" i="100"/>
  <c r="I63" i="100" s="1"/>
  <c r="K63" i="100" s="1"/>
  <c r="G69" i="100"/>
  <c r="I69" i="100" s="1"/>
  <c r="K69" i="100" s="1"/>
  <c r="D63" i="100"/>
  <c r="BT17" i="100"/>
  <c r="AA78" i="98"/>
  <c r="AA76" i="98"/>
  <c r="BT87" i="98"/>
  <c r="BT25" i="100" l="1"/>
  <c r="BT27" i="100"/>
  <c r="BT21" i="100"/>
  <c r="I53" i="100"/>
  <c r="D60" i="100"/>
  <c r="E60" i="100" s="1"/>
  <c r="G60" i="100" s="1"/>
  <c r="I60" i="100" s="1"/>
  <c r="K60" i="100" s="1"/>
  <c r="I30" i="100"/>
  <c r="K10" i="100"/>
  <c r="M10" i="100" s="1"/>
  <c r="BT23" i="100"/>
  <c r="BT12" i="100"/>
  <c r="BT14" i="100"/>
  <c r="D66" i="100" l="1"/>
  <c r="O10" i="100"/>
  <c r="Q10" i="100" s="1"/>
  <c r="M30" i="100"/>
  <c r="G72" i="100"/>
  <c r="K53" i="100"/>
  <c r="K72" i="100" s="1"/>
  <c r="I72" i="100"/>
  <c r="S10" i="100" l="1"/>
  <c r="U10" i="100" s="1"/>
  <c r="Q30" i="100"/>
  <c r="W10" i="100" l="1"/>
  <c r="Y10" i="100" s="1"/>
  <c r="U30" i="100"/>
  <c r="Y30" i="100" l="1"/>
  <c r="AA10" i="100"/>
  <c r="AC10" i="100" s="1"/>
  <c r="AE10" i="100" l="1"/>
  <c r="AG10" i="100" s="1"/>
  <c r="AC30" i="100"/>
  <c r="AG30" i="100" l="1"/>
  <c r="AI10" i="100"/>
  <c r="AK10" i="100" s="1"/>
  <c r="AK30" i="100" l="1"/>
  <c r="AM10" i="100"/>
  <c r="AO10" i="100" s="1"/>
  <c r="AQ10" i="100" l="1"/>
  <c r="AS10" i="100" s="1"/>
  <c r="AO30" i="100"/>
  <c r="AU10" i="100" l="1"/>
  <c r="AW10" i="100" s="1"/>
  <c r="AS30" i="100"/>
  <c r="AY10" i="100" l="1"/>
  <c r="BA10" i="100" s="1"/>
  <c r="AW30" i="100"/>
  <c r="BA30" i="100" l="1"/>
  <c r="BC10" i="100"/>
  <c r="BE10" i="100" s="1"/>
  <c r="BE30" i="100" l="1"/>
  <c r="BG10" i="100"/>
  <c r="BI10" i="100" s="1"/>
  <c r="BK10" i="100" l="1"/>
  <c r="BM10" i="100" s="1"/>
  <c r="BI30" i="100"/>
  <c r="BO10" i="100" l="1"/>
  <c r="BQ10" i="100" s="1"/>
  <c r="BM30" i="100"/>
  <c r="BT10" i="100" l="1"/>
  <c r="BT29" i="100" s="1"/>
  <c r="BT33" i="100" s="1"/>
  <c r="BT34" i="100" s="1"/>
  <c r="BS10" i="100"/>
  <c r="BW10" i="100" s="1"/>
  <c r="BW29" i="100" s="1"/>
  <c r="BY29" i="100" s="1"/>
  <c r="BZ29" i="100" s="1"/>
  <c r="BT46" i="101" s="1"/>
  <c r="BT47" i="101" s="1"/>
  <c r="BQ30" i="100"/>
  <c r="BT30" i="100" s="1"/>
  <c r="BV32" i="101" l="1"/>
  <c r="E8" i="101"/>
  <c r="BW31" i="100"/>
  <c r="L72" i="100"/>
  <c r="M72" i="100" s="1"/>
  <c r="BT48" i="100"/>
  <c r="BW32" i="100"/>
  <c r="BY32" i="100" s="1"/>
  <c r="Q72" i="100" l="1"/>
  <c r="S72" i="100"/>
  <c r="BT56" i="100"/>
  <c r="BT49" i="100"/>
  <c r="BV39" i="100" s="1"/>
  <c r="BT32" i="101"/>
  <c r="E51" i="101"/>
  <c r="E11" i="101"/>
  <c r="BY60" i="100"/>
  <c r="BY48" i="100"/>
  <c r="BY50" i="100" s="1"/>
  <c r="BY57" i="100" s="1"/>
  <c r="BZ57" i="100" s="1"/>
  <c r="BZ58" i="100" s="1"/>
  <c r="BY56" i="100" s="1"/>
  <c r="E5" i="101" l="1"/>
  <c r="G5" i="101" s="1"/>
  <c r="E21" i="101"/>
  <c r="E14" i="101"/>
  <c r="E17" i="101"/>
  <c r="G17" i="101" s="1"/>
  <c r="BT61" i="100"/>
  <c r="BT67" i="100"/>
  <c r="BT76" i="100"/>
  <c r="BT66" i="100"/>
  <c r="BT60" i="100"/>
  <c r="BT59" i="100"/>
  <c r="BT74" i="100"/>
  <c r="BT79" i="100"/>
  <c r="E15" i="108" s="1"/>
  <c r="BT69" i="100"/>
  <c r="BT81" i="100"/>
  <c r="BT80" i="100"/>
  <c r="BT68" i="100"/>
  <c r="BT77" i="100"/>
  <c r="E14" i="110" s="1"/>
  <c r="BT78" i="100"/>
  <c r="E14" i="109" s="1"/>
  <c r="BT70" i="100"/>
  <c r="BT63" i="100"/>
  <c r="BT72" i="100"/>
  <c r="BT73" i="100"/>
  <c r="BU65" i="100"/>
  <c r="BU82" i="100" s="1"/>
  <c r="BT58" i="100"/>
  <c r="DA25" i="100" s="1"/>
  <c r="DA26" i="100" s="1"/>
  <c r="DA27" i="100" s="1"/>
  <c r="DA28" i="100" s="1"/>
  <c r="DA29" i="100" s="1"/>
  <c r="DA30" i="100" s="1"/>
  <c r="DA31" i="100" s="1"/>
  <c r="DA32" i="100" s="1"/>
  <c r="DA33" i="100" s="1"/>
  <c r="DA34" i="100" s="1"/>
  <c r="DA35" i="100" s="1"/>
  <c r="DA36" i="100" s="1"/>
  <c r="DA37" i="100" s="1"/>
  <c r="DA38" i="100" s="1"/>
  <c r="DA39" i="100" s="1"/>
  <c r="DA40" i="100" s="1"/>
  <c r="DA41" i="100" s="1"/>
  <c r="DA42" i="100" s="1"/>
  <c r="DA43" i="100" s="1"/>
  <c r="DA44" i="100" s="1"/>
  <c r="DA45" i="100" s="1"/>
  <c r="DA46" i="100" s="1"/>
  <c r="DA47" i="100" s="1"/>
  <c r="DA48" i="100" s="1"/>
  <c r="DA49" i="100" s="1"/>
  <c r="DA50" i="100" s="1"/>
  <c r="DA51" i="100" s="1"/>
  <c r="DA52" i="100" s="1"/>
  <c r="DA53" i="100" s="1"/>
  <c r="DA54" i="100" s="1"/>
  <c r="DA55" i="100" s="1"/>
  <c r="BT62" i="100"/>
  <c r="BT71" i="100"/>
  <c r="BT75" i="100"/>
  <c r="BY61" i="100"/>
  <c r="CB48" i="100"/>
  <c r="U72" i="100"/>
  <c r="I17" i="101" l="1"/>
  <c r="K17" i="101" s="1"/>
  <c r="M17" i="101" s="1"/>
  <c r="O17" i="101" s="1"/>
  <c r="Q17" i="101" s="1"/>
  <c r="S17" i="101" s="1"/>
  <c r="U17" i="101" s="1"/>
  <c r="W17" i="101" s="1"/>
  <c r="Y17" i="101" s="1"/>
  <c r="AA17" i="101" s="1"/>
  <c r="AC17" i="101" s="1"/>
  <c r="AE17" i="101" s="1"/>
  <c r="AG17" i="101" s="1"/>
  <c r="AI17" i="101" s="1"/>
  <c r="AK17" i="101" s="1"/>
  <c r="AM17" i="101" s="1"/>
  <c r="AO17" i="101" s="1"/>
  <c r="AQ17" i="101" s="1"/>
  <c r="AS17" i="101" s="1"/>
  <c r="AU17" i="101" s="1"/>
  <c r="AW17" i="101" s="1"/>
  <c r="AY17" i="101" s="1"/>
  <c r="BA17" i="101" s="1"/>
  <c r="BC17" i="101" s="1"/>
  <c r="BE17" i="101" s="1"/>
  <c r="BG17" i="101" s="1"/>
  <c r="BI17" i="101" s="1"/>
  <c r="BK17" i="101" s="1"/>
  <c r="BM17" i="101" s="1"/>
  <c r="BO17" i="101" s="1"/>
  <c r="BQ17" i="101" s="1"/>
  <c r="BS17" i="101" s="1"/>
  <c r="BW17" i="101" s="1"/>
  <c r="BU83" i="100"/>
  <c r="BT83" i="100" s="1"/>
  <c r="BT84" i="100" s="1"/>
  <c r="G14" i="101"/>
  <c r="G12" i="101"/>
  <c r="G10" i="101"/>
  <c r="E57" i="101"/>
  <c r="BT85" i="100"/>
  <c r="Y72" i="100"/>
  <c r="AA72" i="100" s="1"/>
  <c r="E63" i="101"/>
  <c r="G27" i="101"/>
  <c r="G23" i="101"/>
  <c r="G25" i="101"/>
  <c r="G21" i="101"/>
  <c r="I5" i="101"/>
  <c r="K5" i="101" s="1"/>
  <c r="M5" i="101" s="1"/>
  <c r="O5" i="101" s="1"/>
  <c r="Q5" i="101" s="1"/>
  <c r="S5" i="101" s="1"/>
  <c r="U5" i="101" s="1"/>
  <c r="W5" i="101" s="1"/>
  <c r="Y5" i="101" s="1"/>
  <c r="AA5" i="101" s="1"/>
  <c r="AC5" i="101" s="1"/>
  <c r="AE5" i="101" s="1"/>
  <c r="AG5" i="101" s="1"/>
  <c r="AI5" i="101" s="1"/>
  <c r="AK5" i="101" s="1"/>
  <c r="AM5" i="101" s="1"/>
  <c r="AO5" i="101" s="1"/>
  <c r="AQ5" i="101" s="1"/>
  <c r="AS5" i="101" s="1"/>
  <c r="AU5" i="101" s="1"/>
  <c r="AW5" i="101" s="1"/>
  <c r="AY5" i="101" s="1"/>
  <c r="BA5" i="101" s="1"/>
  <c r="BC5" i="101" s="1"/>
  <c r="BE5" i="101" s="1"/>
  <c r="BG5" i="101" s="1"/>
  <c r="BI5" i="101" s="1"/>
  <c r="BK5" i="101" s="1"/>
  <c r="BM5" i="101" s="1"/>
  <c r="BO5" i="101" s="1"/>
  <c r="BQ5" i="101" s="1"/>
  <c r="BS5" i="101" s="1"/>
  <c r="BW5" i="101" s="1"/>
  <c r="BZ28" i="101" s="1"/>
  <c r="I21" i="101" l="1"/>
  <c r="K21" i="101" s="1"/>
  <c r="M21" i="101" s="1"/>
  <c r="O21" i="101" s="1"/>
  <c r="Q21" i="101" s="1"/>
  <c r="S21" i="101" s="1"/>
  <c r="U21" i="101" s="1"/>
  <c r="W21" i="101" s="1"/>
  <c r="Y21" i="101" s="1"/>
  <c r="AA21" i="101" s="1"/>
  <c r="AC21" i="101" s="1"/>
  <c r="AE21" i="101" s="1"/>
  <c r="AG21" i="101" s="1"/>
  <c r="AI21" i="101" s="1"/>
  <c r="AK21" i="101" s="1"/>
  <c r="AM21" i="101" s="1"/>
  <c r="AO21" i="101" s="1"/>
  <c r="AQ21" i="101" s="1"/>
  <c r="AS21" i="101" s="1"/>
  <c r="AU21" i="101" s="1"/>
  <c r="AW21" i="101" s="1"/>
  <c r="AY21" i="101" s="1"/>
  <c r="BA21" i="101" s="1"/>
  <c r="BC21" i="101" s="1"/>
  <c r="BE21" i="101" s="1"/>
  <c r="BG21" i="101" s="1"/>
  <c r="BI21" i="101" s="1"/>
  <c r="BK21" i="101" s="1"/>
  <c r="BM21" i="101" s="1"/>
  <c r="BO21" i="101" s="1"/>
  <c r="BQ21" i="101" s="1"/>
  <c r="BS21" i="101" s="1"/>
  <c r="BW21" i="101" s="1"/>
  <c r="I25" i="101"/>
  <c r="K25" i="101" s="1"/>
  <c r="M25" i="101" s="1"/>
  <c r="O25" i="101" s="1"/>
  <c r="Q25" i="101" s="1"/>
  <c r="S25" i="101" s="1"/>
  <c r="U25" i="101" s="1"/>
  <c r="W25" i="101" s="1"/>
  <c r="Y25" i="101" s="1"/>
  <c r="AA25" i="101" s="1"/>
  <c r="AC25" i="101" s="1"/>
  <c r="AE25" i="101" s="1"/>
  <c r="AG25" i="101" s="1"/>
  <c r="AI25" i="101" s="1"/>
  <c r="AK25" i="101" s="1"/>
  <c r="AM25" i="101" s="1"/>
  <c r="AO25" i="101" s="1"/>
  <c r="AQ25" i="101" s="1"/>
  <c r="AS25" i="101" s="1"/>
  <c r="AU25" i="101" s="1"/>
  <c r="AW25" i="101" s="1"/>
  <c r="AY25" i="101" s="1"/>
  <c r="BA25" i="101" s="1"/>
  <c r="BC25" i="101" s="1"/>
  <c r="BE25" i="101" s="1"/>
  <c r="BG25" i="101" s="1"/>
  <c r="BI25" i="101" s="1"/>
  <c r="BK25" i="101" s="1"/>
  <c r="BM25" i="101" s="1"/>
  <c r="BO25" i="101" s="1"/>
  <c r="BQ25" i="101" s="1"/>
  <c r="BS25" i="101" s="1"/>
  <c r="BW25" i="101" s="1"/>
  <c r="I14" i="101"/>
  <c r="K14" i="101" s="1"/>
  <c r="M14" i="101" s="1"/>
  <c r="O14" i="101" s="1"/>
  <c r="Q14" i="101" s="1"/>
  <c r="S14" i="101" s="1"/>
  <c r="U14" i="101" s="1"/>
  <c r="W14" i="101" s="1"/>
  <c r="Y14" i="101" s="1"/>
  <c r="AA14" i="101" s="1"/>
  <c r="AC14" i="101" s="1"/>
  <c r="AE14" i="101" s="1"/>
  <c r="AG14" i="101" s="1"/>
  <c r="AI14" i="101" s="1"/>
  <c r="AK14" i="101" s="1"/>
  <c r="AM14" i="101" s="1"/>
  <c r="AO14" i="101" s="1"/>
  <c r="AQ14" i="101" s="1"/>
  <c r="AS14" i="101" s="1"/>
  <c r="AU14" i="101" s="1"/>
  <c r="AW14" i="101" s="1"/>
  <c r="AY14" i="101" s="1"/>
  <c r="BA14" i="101" s="1"/>
  <c r="BC14" i="101" s="1"/>
  <c r="BE14" i="101" s="1"/>
  <c r="BG14" i="101" s="1"/>
  <c r="BI14" i="101" s="1"/>
  <c r="BK14" i="101" s="1"/>
  <c r="BM14" i="101" s="1"/>
  <c r="BO14" i="101" s="1"/>
  <c r="BQ14" i="101" s="1"/>
  <c r="BS14" i="101" s="1"/>
  <c r="BW14" i="101" s="1"/>
  <c r="I27" i="101"/>
  <c r="K27" i="101" s="1"/>
  <c r="M27" i="101" s="1"/>
  <c r="O27" i="101" s="1"/>
  <c r="Q27" i="101" s="1"/>
  <c r="S27" i="101" s="1"/>
  <c r="U27" i="101" s="1"/>
  <c r="W27" i="101" s="1"/>
  <c r="Y27" i="101" s="1"/>
  <c r="AA27" i="101" s="1"/>
  <c r="AC27" i="101" s="1"/>
  <c r="AE27" i="101" s="1"/>
  <c r="AG27" i="101" s="1"/>
  <c r="AI27" i="101" s="1"/>
  <c r="AK27" i="101" s="1"/>
  <c r="AM27" i="101" s="1"/>
  <c r="AO27" i="101" s="1"/>
  <c r="AQ27" i="101" s="1"/>
  <c r="AS27" i="101" s="1"/>
  <c r="AU27" i="101" s="1"/>
  <c r="AW27" i="101" s="1"/>
  <c r="AY27" i="101" s="1"/>
  <c r="BA27" i="101" s="1"/>
  <c r="BC27" i="101" s="1"/>
  <c r="BE27" i="101" s="1"/>
  <c r="BG27" i="101" s="1"/>
  <c r="BI27" i="101" s="1"/>
  <c r="BK27" i="101" s="1"/>
  <c r="BM27" i="101" s="1"/>
  <c r="BO27" i="101" s="1"/>
  <c r="BQ27" i="101" s="1"/>
  <c r="BS27" i="101" s="1"/>
  <c r="BW27" i="101" s="1"/>
  <c r="BU84" i="100"/>
  <c r="G53" i="101"/>
  <c r="G55" i="101"/>
  <c r="I55" i="101" s="1"/>
  <c r="K55" i="101" s="1"/>
  <c r="D57" i="101"/>
  <c r="G57" i="101"/>
  <c r="I57" i="101" s="1"/>
  <c r="K57" i="101" s="1"/>
  <c r="I12" i="101"/>
  <c r="K12" i="101" s="1"/>
  <c r="M12" i="101" s="1"/>
  <c r="O12" i="101" s="1"/>
  <c r="Q12" i="101" s="1"/>
  <c r="S12" i="101" s="1"/>
  <c r="U12" i="101" s="1"/>
  <c r="W12" i="101" s="1"/>
  <c r="Y12" i="101" s="1"/>
  <c r="AA12" i="101" s="1"/>
  <c r="AC12" i="101" s="1"/>
  <c r="AE12" i="101" s="1"/>
  <c r="AG12" i="101" s="1"/>
  <c r="AI12" i="101" s="1"/>
  <c r="AK12" i="101" s="1"/>
  <c r="AM12" i="101" s="1"/>
  <c r="AO12" i="101" s="1"/>
  <c r="AQ12" i="101" s="1"/>
  <c r="AS12" i="101" s="1"/>
  <c r="AU12" i="101" s="1"/>
  <c r="AW12" i="101" s="1"/>
  <c r="AY12" i="101" s="1"/>
  <c r="BA12" i="101" s="1"/>
  <c r="BC12" i="101" s="1"/>
  <c r="BE12" i="101" s="1"/>
  <c r="BG12" i="101" s="1"/>
  <c r="BI12" i="101" s="1"/>
  <c r="BK12" i="101" s="1"/>
  <c r="BM12" i="101" s="1"/>
  <c r="BO12" i="101" s="1"/>
  <c r="BQ12" i="101" s="1"/>
  <c r="BS12" i="101" s="1"/>
  <c r="BW12" i="101" s="1"/>
  <c r="G30" i="101"/>
  <c r="I10" i="101"/>
  <c r="I23" i="101"/>
  <c r="K23" i="101" s="1"/>
  <c r="M23" i="101" s="1"/>
  <c r="O23" i="101" s="1"/>
  <c r="Q23" i="101" s="1"/>
  <c r="S23" i="101" s="1"/>
  <c r="U23" i="101" s="1"/>
  <c r="W23" i="101" s="1"/>
  <c r="Y23" i="101" s="1"/>
  <c r="AA23" i="101" s="1"/>
  <c r="AC23" i="101" s="1"/>
  <c r="AE23" i="101" s="1"/>
  <c r="AG23" i="101" s="1"/>
  <c r="AI23" i="101" s="1"/>
  <c r="AK23" i="101" s="1"/>
  <c r="AM23" i="101" s="1"/>
  <c r="AO23" i="101" s="1"/>
  <c r="AQ23" i="101" s="1"/>
  <c r="AS23" i="101" s="1"/>
  <c r="AU23" i="101" s="1"/>
  <c r="AW23" i="101" s="1"/>
  <c r="AY23" i="101" s="1"/>
  <c r="BA23" i="101" s="1"/>
  <c r="BC23" i="101" s="1"/>
  <c r="BE23" i="101" s="1"/>
  <c r="BG23" i="101" s="1"/>
  <c r="BI23" i="101" s="1"/>
  <c r="BK23" i="101" s="1"/>
  <c r="BM23" i="101" s="1"/>
  <c r="BO23" i="101" s="1"/>
  <c r="BQ23" i="101" s="1"/>
  <c r="BS23" i="101" s="1"/>
  <c r="BW23" i="101" s="1"/>
  <c r="G65" i="101"/>
  <c r="I65" i="101" s="1"/>
  <c r="K65" i="101" s="1"/>
  <c r="G63" i="101"/>
  <c r="I63" i="101" s="1"/>
  <c r="K63" i="101" s="1"/>
  <c r="G69" i="101"/>
  <c r="I69" i="101" s="1"/>
  <c r="K69" i="101" s="1"/>
  <c r="D63" i="101"/>
  <c r="G67" i="101"/>
  <c r="I67" i="101" s="1"/>
  <c r="K67" i="101" s="1"/>
  <c r="AA78" i="100"/>
  <c r="BT87" i="100"/>
  <c r="AA76" i="100"/>
  <c r="BT17" i="101"/>
  <c r="BT5" i="101"/>
  <c r="BT14" i="101" l="1"/>
  <c r="BT23" i="101"/>
  <c r="D60" i="101"/>
  <c r="E60" i="101" s="1"/>
  <c r="G60" i="101" s="1"/>
  <c r="I60" i="101" s="1"/>
  <c r="K60" i="101" s="1"/>
  <c r="BT25" i="101"/>
  <c r="BT27" i="101"/>
  <c r="BT12" i="101"/>
  <c r="I53" i="101"/>
  <c r="BT21" i="101"/>
  <c r="K10" i="101"/>
  <c r="M10" i="101" s="1"/>
  <c r="I30" i="101"/>
  <c r="D66" i="101" l="1"/>
  <c r="I72" i="101"/>
  <c r="K53" i="101"/>
  <c r="K72" i="101" s="1"/>
  <c r="O10" i="101"/>
  <c r="Q10" i="101" s="1"/>
  <c r="M30" i="101"/>
  <c r="G72" i="101"/>
  <c r="S10" i="101" l="1"/>
  <c r="U10" i="101" s="1"/>
  <c r="Q30" i="101"/>
  <c r="W10" i="101" l="1"/>
  <c r="Y10" i="101" s="1"/>
  <c r="U30" i="101"/>
  <c r="AA10" i="101" l="1"/>
  <c r="AC10" i="101" s="1"/>
  <c r="Y30" i="101"/>
  <c r="AE10" i="101" l="1"/>
  <c r="AG10" i="101" s="1"/>
  <c r="AC30" i="101"/>
  <c r="AI10" i="101" l="1"/>
  <c r="AK10" i="101" s="1"/>
  <c r="AG30" i="101"/>
  <c r="AK30" i="101" l="1"/>
  <c r="AM10" i="101"/>
  <c r="AO10" i="101" s="1"/>
  <c r="AO30" i="101" l="1"/>
  <c r="AQ10" i="101"/>
  <c r="AS10" i="101" s="1"/>
  <c r="AS30" i="101" l="1"/>
  <c r="AU10" i="101"/>
  <c r="AW10" i="101" s="1"/>
  <c r="AW30" i="101" l="1"/>
  <c r="AY10" i="101"/>
  <c r="BA10" i="101" s="1"/>
  <c r="BC10" i="101" l="1"/>
  <c r="BE10" i="101" s="1"/>
  <c r="BA30" i="101"/>
  <c r="BG10" i="101" l="1"/>
  <c r="BI10" i="101" s="1"/>
  <c r="BE30" i="101"/>
  <c r="BK10" i="101" l="1"/>
  <c r="BM10" i="101" s="1"/>
  <c r="BI30" i="101"/>
  <c r="BM30" i="101" l="1"/>
  <c r="BO10" i="101"/>
  <c r="BQ10" i="101" s="1"/>
  <c r="BT10" i="101" s="1"/>
  <c r="BT29" i="101" s="1"/>
  <c r="BT33" i="101" s="1"/>
  <c r="BT34" i="101" s="1"/>
  <c r="BW31" i="101" l="1"/>
  <c r="L72" i="101"/>
  <c r="M72" i="101" s="1"/>
  <c r="BT48" i="101"/>
  <c r="BW32" i="101"/>
  <c r="BY32" i="101" s="1"/>
  <c r="BS10" i="101"/>
  <c r="BW10" i="101" s="1"/>
  <c r="BW29" i="101" s="1"/>
  <c r="BY29" i="101" s="1"/>
  <c r="BZ29" i="101" s="1"/>
  <c r="BT46" i="102" s="1"/>
  <c r="BT47" i="102" s="1"/>
  <c r="BQ30" i="101"/>
  <c r="BT30" i="101" s="1"/>
  <c r="S72" i="101" l="1"/>
  <c r="Q72" i="101"/>
  <c r="BV32" i="102"/>
  <c r="E8" i="102"/>
  <c r="BY48" i="101"/>
  <c r="BY50" i="101" s="1"/>
  <c r="BY57" i="101" s="1"/>
  <c r="BZ57" i="101" s="1"/>
  <c r="BZ58" i="101" s="1"/>
  <c r="BY56" i="101" s="1"/>
  <c r="BY60" i="101"/>
  <c r="BT56" i="101"/>
  <c r="BT49" i="101"/>
  <c r="BV39" i="101" s="1"/>
  <c r="U72" i="101" l="1"/>
  <c r="BT32" i="102"/>
  <c r="E11" i="102"/>
  <c r="E51" i="102"/>
  <c r="BY61" i="101"/>
  <c r="CB48" i="101"/>
  <c r="BT58" i="101"/>
  <c r="DA25" i="101" s="1"/>
  <c r="DA26" i="101" s="1"/>
  <c r="DA27" i="101" s="1"/>
  <c r="DA28" i="101" s="1"/>
  <c r="DA29" i="101" s="1"/>
  <c r="DA30" i="101" s="1"/>
  <c r="DA31" i="101" s="1"/>
  <c r="DA32" i="101" s="1"/>
  <c r="DA33" i="101" s="1"/>
  <c r="DA34" i="101" s="1"/>
  <c r="DA35" i="101" s="1"/>
  <c r="DA36" i="101" s="1"/>
  <c r="DA37" i="101" s="1"/>
  <c r="DA38" i="101" s="1"/>
  <c r="DA39" i="101" s="1"/>
  <c r="DA40" i="101" s="1"/>
  <c r="DA41" i="101" s="1"/>
  <c r="DA42" i="101" s="1"/>
  <c r="DA43" i="101" s="1"/>
  <c r="DA44" i="101" s="1"/>
  <c r="DA45" i="101" s="1"/>
  <c r="DA46" i="101" s="1"/>
  <c r="DA47" i="101" s="1"/>
  <c r="DA48" i="101" s="1"/>
  <c r="DA49" i="101" s="1"/>
  <c r="DA50" i="101" s="1"/>
  <c r="DA51" i="101" s="1"/>
  <c r="DA52" i="101" s="1"/>
  <c r="DA53" i="101" s="1"/>
  <c r="DA54" i="101" s="1"/>
  <c r="DA55" i="101" s="1"/>
  <c r="BT59" i="101"/>
  <c r="BT73" i="101"/>
  <c r="BT77" i="101"/>
  <c r="BT63" i="101"/>
  <c r="BT67" i="101"/>
  <c r="BT74" i="101"/>
  <c r="BT76" i="101"/>
  <c r="BT70" i="101"/>
  <c r="BT80" i="101"/>
  <c r="BU65" i="101"/>
  <c r="BU82" i="101" s="1"/>
  <c r="BT78" i="101"/>
  <c r="BT69" i="101"/>
  <c r="BT62" i="101"/>
  <c r="BT81" i="101"/>
  <c r="BT61" i="101"/>
  <c r="BT68" i="101"/>
  <c r="BT72" i="101"/>
  <c r="BT71" i="101"/>
  <c r="BT75" i="101"/>
  <c r="BT66" i="101"/>
  <c r="BT60" i="101"/>
  <c r="BT79" i="101"/>
  <c r="E15" i="109" l="1"/>
  <c r="E16" i="109"/>
  <c r="E16" i="110"/>
  <c r="E15" i="110"/>
  <c r="E17" i="108"/>
  <c r="E16" i="108"/>
  <c r="Y72" i="101"/>
  <c r="AA72" i="101" s="1"/>
  <c r="BT85" i="101"/>
  <c r="E17" i="102"/>
  <c r="G17" i="102" s="1"/>
  <c r="E5" i="102"/>
  <c r="G5" i="102" s="1"/>
  <c r="E21" i="102"/>
  <c r="E14" i="102"/>
  <c r="BU83" i="101"/>
  <c r="BT83" i="101" s="1"/>
  <c r="BT84" i="101" s="1"/>
  <c r="I5" i="102" l="1"/>
  <c r="K5" i="102" s="1"/>
  <c r="M5" i="102" s="1"/>
  <c r="O5" i="102" s="1"/>
  <c r="Q5" i="102" s="1"/>
  <c r="S5" i="102" s="1"/>
  <c r="U5" i="102" s="1"/>
  <c r="W5" i="102" s="1"/>
  <c r="Y5" i="102" s="1"/>
  <c r="AA5" i="102" s="1"/>
  <c r="AC5" i="102" s="1"/>
  <c r="AE5" i="102" s="1"/>
  <c r="AG5" i="102" s="1"/>
  <c r="AI5" i="102" s="1"/>
  <c r="AK5" i="102" s="1"/>
  <c r="AM5" i="102" s="1"/>
  <c r="AO5" i="102" s="1"/>
  <c r="AQ5" i="102" s="1"/>
  <c r="AS5" i="102" s="1"/>
  <c r="AU5" i="102" s="1"/>
  <c r="AW5" i="102" s="1"/>
  <c r="AY5" i="102" s="1"/>
  <c r="BA5" i="102" s="1"/>
  <c r="BC5" i="102" s="1"/>
  <c r="BE5" i="102" s="1"/>
  <c r="BG5" i="102" s="1"/>
  <c r="BI5" i="102" s="1"/>
  <c r="BK5" i="102" s="1"/>
  <c r="BM5" i="102" s="1"/>
  <c r="BO5" i="102" s="1"/>
  <c r="BQ5" i="102" s="1"/>
  <c r="BS5" i="102" s="1"/>
  <c r="BW5" i="102" s="1"/>
  <c r="BZ28" i="102" s="1"/>
  <c r="BU84" i="101"/>
  <c r="G12" i="102"/>
  <c r="E57" i="102"/>
  <c r="G14" i="102"/>
  <c r="G10" i="102"/>
  <c r="I17" i="102"/>
  <c r="K17" i="102" s="1"/>
  <c r="M17" i="102" s="1"/>
  <c r="O17" i="102" s="1"/>
  <c r="Q17" i="102" s="1"/>
  <c r="S17" i="102" s="1"/>
  <c r="U17" i="102" s="1"/>
  <c r="W17" i="102" s="1"/>
  <c r="Y17" i="102" s="1"/>
  <c r="AA17" i="102" s="1"/>
  <c r="AC17" i="102" s="1"/>
  <c r="AE17" i="102" s="1"/>
  <c r="AG17" i="102" s="1"/>
  <c r="AI17" i="102" s="1"/>
  <c r="AK17" i="102" s="1"/>
  <c r="AM17" i="102" s="1"/>
  <c r="AO17" i="102" s="1"/>
  <c r="AQ17" i="102" s="1"/>
  <c r="AS17" i="102" s="1"/>
  <c r="AU17" i="102" s="1"/>
  <c r="AW17" i="102" s="1"/>
  <c r="AY17" i="102" s="1"/>
  <c r="BA17" i="102" s="1"/>
  <c r="BC17" i="102" s="1"/>
  <c r="BE17" i="102" s="1"/>
  <c r="BG17" i="102" s="1"/>
  <c r="BI17" i="102" s="1"/>
  <c r="BK17" i="102" s="1"/>
  <c r="BM17" i="102" s="1"/>
  <c r="BO17" i="102" s="1"/>
  <c r="BQ17" i="102" s="1"/>
  <c r="BS17" i="102" s="1"/>
  <c r="BW17" i="102" s="1"/>
  <c r="G21" i="102"/>
  <c r="E63" i="102"/>
  <c r="G27" i="102"/>
  <c r="G25" i="102"/>
  <c r="G23" i="102"/>
  <c r="BT87" i="101"/>
  <c r="AA76" i="101"/>
  <c r="AA78" i="101"/>
  <c r="BT5" i="102" l="1"/>
  <c r="I25" i="102"/>
  <c r="K25" i="102" s="1"/>
  <c r="M25" i="102" s="1"/>
  <c r="O25" i="102" s="1"/>
  <c r="Q25" i="102" s="1"/>
  <c r="S25" i="102" s="1"/>
  <c r="U25" i="102" s="1"/>
  <c r="W25" i="102" s="1"/>
  <c r="Y25" i="102" s="1"/>
  <c r="AA25" i="102" s="1"/>
  <c r="AC25" i="102" s="1"/>
  <c r="AE25" i="102" s="1"/>
  <c r="AG25" i="102" s="1"/>
  <c r="AI25" i="102" s="1"/>
  <c r="AK25" i="102" s="1"/>
  <c r="AM25" i="102" s="1"/>
  <c r="AO25" i="102" s="1"/>
  <c r="AQ25" i="102" s="1"/>
  <c r="AS25" i="102" s="1"/>
  <c r="AU25" i="102" s="1"/>
  <c r="AW25" i="102" s="1"/>
  <c r="AY25" i="102" s="1"/>
  <c r="BA25" i="102" s="1"/>
  <c r="BC25" i="102" s="1"/>
  <c r="BE25" i="102" s="1"/>
  <c r="BG25" i="102" s="1"/>
  <c r="BI25" i="102" s="1"/>
  <c r="BK25" i="102" s="1"/>
  <c r="BM25" i="102" s="1"/>
  <c r="BO25" i="102" s="1"/>
  <c r="BQ25" i="102" s="1"/>
  <c r="BS25" i="102" s="1"/>
  <c r="BW25" i="102" s="1"/>
  <c r="I10" i="102"/>
  <c r="G30" i="102"/>
  <c r="I27" i="102"/>
  <c r="K27" i="102" s="1"/>
  <c r="M27" i="102" s="1"/>
  <c r="O27" i="102" s="1"/>
  <c r="Q27" i="102" s="1"/>
  <c r="S27" i="102" s="1"/>
  <c r="U27" i="102" s="1"/>
  <c r="W27" i="102" s="1"/>
  <c r="Y27" i="102" s="1"/>
  <c r="AA27" i="102" s="1"/>
  <c r="AC27" i="102" s="1"/>
  <c r="AE27" i="102" s="1"/>
  <c r="AG27" i="102" s="1"/>
  <c r="AI27" i="102" s="1"/>
  <c r="AK27" i="102" s="1"/>
  <c r="AM27" i="102" s="1"/>
  <c r="AO27" i="102" s="1"/>
  <c r="AQ27" i="102" s="1"/>
  <c r="AS27" i="102" s="1"/>
  <c r="AU27" i="102" s="1"/>
  <c r="AW27" i="102" s="1"/>
  <c r="AY27" i="102" s="1"/>
  <c r="BA27" i="102" s="1"/>
  <c r="BC27" i="102" s="1"/>
  <c r="BE27" i="102" s="1"/>
  <c r="BG27" i="102" s="1"/>
  <c r="BI27" i="102" s="1"/>
  <c r="BK27" i="102" s="1"/>
  <c r="BM27" i="102" s="1"/>
  <c r="BO27" i="102" s="1"/>
  <c r="BQ27" i="102" s="1"/>
  <c r="BS27" i="102" s="1"/>
  <c r="BW27" i="102" s="1"/>
  <c r="I14" i="102"/>
  <c r="K14" i="102" s="1"/>
  <c r="M14" i="102" s="1"/>
  <c r="O14" i="102" s="1"/>
  <c r="Q14" i="102" s="1"/>
  <c r="S14" i="102" s="1"/>
  <c r="U14" i="102" s="1"/>
  <c r="W14" i="102" s="1"/>
  <c r="Y14" i="102" s="1"/>
  <c r="AA14" i="102" s="1"/>
  <c r="AC14" i="102" s="1"/>
  <c r="AE14" i="102" s="1"/>
  <c r="AG14" i="102" s="1"/>
  <c r="AI14" i="102" s="1"/>
  <c r="AK14" i="102" s="1"/>
  <c r="AM14" i="102" s="1"/>
  <c r="AO14" i="102" s="1"/>
  <c r="AQ14" i="102" s="1"/>
  <c r="AS14" i="102" s="1"/>
  <c r="AU14" i="102" s="1"/>
  <c r="AW14" i="102" s="1"/>
  <c r="AY14" i="102" s="1"/>
  <c r="BA14" i="102" s="1"/>
  <c r="BC14" i="102" s="1"/>
  <c r="BE14" i="102" s="1"/>
  <c r="BG14" i="102" s="1"/>
  <c r="BI14" i="102" s="1"/>
  <c r="BK14" i="102" s="1"/>
  <c r="BM14" i="102" s="1"/>
  <c r="BO14" i="102" s="1"/>
  <c r="BQ14" i="102" s="1"/>
  <c r="BS14" i="102" s="1"/>
  <c r="BW14" i="102" s="1"/>
  <c r="I23" i="102"/>
  <c r="K23" i="102" s="1"/>
  <c r="M23" i="102" s="1"/>
  <c r="O23" i="102" s="1"/>
  <c r="Q23" i="102" s="1"/>
  <c r="S23" i="102" s="1"/>
  <c r="U23" i="102" s="1"/>
  <c r="W23" i="102" s="1"/>
  <c r="Y23" i="102" s="1"/>
  <c r="AA23" i="102" s="1"/>
  <c r="AC23" i="102" s="1"/>
  <c r="AE23" i="102" s="1"/>
  <c r="AG23" i="102" s="1"/>
  <c r="AI23" i="102" s="1"/>
  <c r="AK23" i="102" s="1"/>
  <c r="AM23" i="102" s="1"/>
  <c r="AO23" i="102" s="1"/>
  <c r="AQ23" i="102" s="1"/>
  <c r="AS23" i="102" s="1"/>
  <c r="AU23" i="102" s="1"/>
  <c r="AW23" i="102" s="1"/>
  <c r="AY23" i="102" s="1"/>
  <c r="BA23" i="102" s="1"/>
  <c r="BC23" i="102" s="1"/>
  <c r="BE23" i="102" s="1"/>
  <c r="BG23" i="102" s="1"/>
  <c r="BI23" i="102" s="1"/>
  <c r="BK23" i="102" s="1"/>
  <c r="BM23" i="102" s="1"/>
  <c r="BO23" i="102" s="1"/>
  <c r="BQ23" i="102" s="1"/>
  <c r="BS23" i="102" s="1"/>
  <c r="BW23" i="102" s="1"/>
  <c r="D63" i="102"/>
  <c r="G65" i="102"/>
  <c r="I65" i="102" s="1"/>
  <c r="K65" i="102" s="1"/>
  <c r="G69" i="102"/>
  <c r="I69" i="102" s="1"/>
  <c r="K69" i="102" s="1"/>
  <c r="G67" i="102"/>
  <c r="I67" i="102" s="1"/>
  <c r="K67" i="102" s="1"/>
  <c r="G63" i="102"/>
  <c r="I63" i="102" s="1"/>
  <c r="K63" i="102" s="1"/>
  <c r="G57" i="102"/>
  <c r="I57" i="102" s="1"/>
  <c r="K57" i="102" s="1"/>
  <c r="G55" i="102"/>
  <c r="I55" i="102" s="1"/>
  <c r="K55" i="102" s="1"/>
  <c r="D57" i="102"/>
  <c r="G53" i="102"/>
  <c r="BT17" i="102"/>
  <c r="I21" i="102"/>
  <c r="K21" i="102" s="1"/>
  <c r="M21" i="102" s="1"/>
  <c r="O21" i="102" s="1"/>
  <c r="Q21" i="102" s="1"/>
  <c r="S21" i="102" s="1"/>
  <c r="U21" i="102" s="1"/>
  <c r="W21" i="102" s="1"/>
  <c r="Y21" i="102" s="1"/>
  <c r="AA21" i="102" s="1"/>
  <c r="AC21" i="102" s="1"/>
  <c r="AE21" i="102" s="1"/>
  <c r="AG21" i="102" s="1"/>
  <c r="AI21" i="102" s="1"/>
  <c r="AK21" i="102" s="1"/>
  <c r="AM21" i="102" s="1"/>
  <c r="AO21" i="102" s="1"/>
  <c r="AQ21" i="102" s="1"/>
  <c r="AS21" i="102" s="1"/>
  <c r="AU21" i="102" s="1"/>
  <c r="AW21" i="102" s="1"/>
  <c r="AY21" i="102" s="1"/>
  <c r="BA21" i="102" s="1"/>
  <c r="BC21" i="102" s="1"/>
  <c r="BE21" i="102" s="1"/>
  <c r="BG21" i="102" s="1"/>
  <c r="BI21" i="102" s="1"/>
  <c r="BK21" i="102" s="1"/>
  <c r="BM21" i="102" s="1"/>
  <c r="BO21" i="102" s="1"/>
  <c r="BQ21" i="102" s="1"/>
  <c r="BS21" i="102" s="1"/>
  <c r="BW21" i="102" s="1"/>
  <c r="I12" i="102"/>
  <c r="K12" i="102" s="1"/>
  <c r="M12" i="102" s="1"/>
  <c r="O12" i="102" s="1"/>
  <c r="Q12" i="102" s="1"/>
  <c r="S12" i="102" s="1"/>
  <c r="U12" i="102" s="1"/>
  <c r="W12" i="102" s="1"/>
  <c r="Y12" i="102" s="1"/>
  <c r="AA12" i="102" s="1"/>
  <c r="AC12" i="102" s="1"/>
  <c r="AE12" i="102" s="1"/>
  <c r="AG12" i="102" s="1"/>
  <c r="AI12" i="102" s="1"/>
  <c r="AK12" i="102" s="1"/>
  <c r="AM12" i="102" s="1"/>
  <c r="AO12" i="102" s="1"/>
  <c r="AQ12" i="102" s="1"/>
  <c r="AS12" i="102" s="1"/>
  <c r="AU12" i="102" s="1"/>
  <c r="AW12" i="102" s="1"/>
  <c r="AY12" i="102" s="1"/>
  <c r="BA12" i="102" s="1"/>
  <c r="BC12" i="102" s="1"/>
  <c r="BE12" i="102" s="1"/>
  <c r="BG12" i="102" s="1"/>
  <c r="BI12" i="102" s="1"/>
  <c r="BK12" i="102" s="1"/>
  <c r="BM12" i="102" s="1"/>
  <c r="BO12" i="102" s="1"/>
  <c r="BQ12" i="102" s="1"/>
  <c r="BS12" i="102" s="1"/>
  <c r="BW12" i="102" s="1"/>
  <c r="BT27" i="102" l="1"/>
  <c r="BT23" i="102"/>
  <c r="BT21" i="102"/>
  <c r="I53" i="102"/>
  <c r="D60" i="102"/>
  <c r="E60" i="102" s="1"/>
  <c r="G60" i="102" s="1"/>
  <c r="I60" i="102" s="1"/>
  <c r="K60" i="102" s="1"/>
  <c r="I30" i="102"/>
  <c r="K10" i="102"/>
  <c r="M10" i="102" s="1"/>
  <c r="BT12" i="102"/>
  <c r="BT25" i="102"/>
  <c r="BT14" i="102"/>
  <c r="D66" i="102" l="1"/>
  <c r="G72" i="102"/>
  <c r="O10" i="102"/>
  <c r="Q10" i="102" s="1"/>
  <c r="M30" i="102"/>
  <c r="I72" i="102"/>
  <c r="K53" i="102"/>
  <c r="K72" i="102" s="1"/>
  <c r="Q30" i="102" l="1"/>
  <c r="S10" i="102"/>
  <c r="U10" i="102" s="1"/>
  <c r="W10" i="102" l="1"/>
  <c r="Y10" i="102" s="1"/>
  <c r="U30" i="102"/>
  <c r="Y30" i="102" l="1"/>
  <c r="AA10" i="102"/>
  <c r="AC10" i="102" s="1"/>
  <c r="AE10" i="102" l="1"/>
  <c r="AG10" i="102" s="1"/>
  <c r="AC30" i="102"/>
  <c r="AG30" i="102" l="1"/>
  <c r="AI10" i="102"/>
  <c r="AK10" i="102" s="1"/>
  <c r="AK30" i="102" l="1"/>
  <c r="AM10" i="102"/>
  <c r="AO10" i="102" s="1"/>
  <c r="AQ10" i="102" l="1"/>
  <c r="AS10" i="102" s="1"/>
  <c r="AO30" i="102"/>
  <c r="AU10" i="102" l="1"/>
  <c r="AW10" i="102" s="1"/>
  <c r="AS30" i="102"/>
  <c r="AY10" i="102" l="1"/>
  <c r="BA10" i="102" s="1"/>
  <c r="AW30" i="102"/>
  <c r="BA30" i="102" l="1"/>
  <c r="BC10" i="102"/>
  <c r="BE10" i="102" s="1"/>
  <c r="BE30" i="102" l="1"/>
  <c r="BG10" i="102"/>
  <c r="BI10" i="102" s="1"/>
  <c r="BI30" i="102" l="1"/>
  <c r="BK10" i="102"/>
  <c r="BM10" i="102" s="1"/>
  <c r="BM30" i="102" l="1"/>
  <c r="BO10" i="102"/>
  <c r="BQ10" i="102" s="1"/>
  <c r="BS10" i="102" l="1"/>
  <c r="BW10" i="102" s="1"/>
  <c r="BW29" i="102" s="1"/>
  <c r="BY29" i="102" s="1"/>
  <c r="BZ29" i="102" s="1"/>
  <c r="BT46" i="104" s="1"/>
  <c r="BT47" i="104" s="1"/>
  <c r="BQ30" i="102"/>
  <c r="BT30" i="102" s="1"/>
  <c r="BT10" i="102"/>
  <c r="BT29" i="102" s="1"/>
  <c r="BT33" i="102" s="1"/>
  <c r="BT34" i="102" s="1"/>
  <c r="L72" i="102" l="1"/>
  <c r="M72" i="102" s="1"/>
  <c r="BW31" i="102"/>
  <c r="BT48" i="102"/>
  <c r="BW32" i="102"/>
  <c r="BY32" i="102" s="1"/>
  <c r="BV32" i="104"/>
  <c r="E8" i="104"/>
  <c r="BT32" i="104" l="1"/>
  <c r="E11" i="104"/>
  <c r="E51" i="104"/>
  <c r="BY48" i="102"/>
  <c r="BY50" i="102" s="1"/>
  <c r="BY57" i="102" s="1"/>
  <c r="BZ57" i="102" s="1"/>
  <c r="BZ58" i="102" s="1"/>
  <c r="BY56" i="102" s="1"/>
  <c r="BY60" i="102"/>
  <c r="BT49" i="102"/>
  <c r="BV39" i="102" s="1"/>
  <c r="BT56" i="102"/>
  <c r="Q72" i="102"/>
  <c r="S72" i="102"/>
  <c r="U72" i="102" l="1"/>
  <c r="E21" i="104"/>
  <c r="E14" i="104"/>
  <c r="E5" i="104"/>
  <c r="G5" i="104" s="1"/>
  <c r="E17" i="104"/>
  <c r="G17" i="104" s="1"/>
  <c r="BT59" i="102"/>
  <c r="BT78" i="102"/>
  <c r="BT67" i="102"/>
  <c r="BT72" i="102"/>
  <c r="BT69" i="102"/>
  <c r="BT81" i="102"/>
  <c r="BT63" i="102"/>
  <c r="BT76" i="102"/>
  <c r="BT77" i="102"/>
  <c r="BT66" i="102"/>
  <c r="BT71" i="102"/>
  <c r="BU65" i="102"/>
  <c r="BU82" i="102" s="1"/>
  <c r="BT74" i="102"/>
  <c r="BT62" i="102"/>
  <c r="BT80" i="102"/>
  <c r="BT70" i="102"/>
  <c r="BT79" i="102"/>
  <c r="BT68" i="102"/>
  <c r="BT75" i="102"/>
  <c r="BT58" i="102"/>
  <c r="DA25" i="102" s="1"/>
  <c r="DA26" i="102" s="1"/>
  <c r="DA27" i="102" s="1"/>
  <c r="DA28" i="102" s="1"/>
  <c r="DA29" i="102" s="1"/>
  <c r="DA30" i="102" s="1"/>
  <c r="DA31" i="102" s="1"/>
  <c r="DA32" i="102" s="1"/>
  <c r="DA33" i="102" s="1"/>
  <c r="DA34" i="102" s="1"/>
  <c r="DA35" i="102" s="1"/>
  <c r="DA36" i="102" s="1"/>
  <c r="DA37" i="102" s="1"/>
  <c r="DA38" i="102" s="1"/>
  <c r="DA39" i="102" s="1"/>
  <c r="DA40" i="102" s="1"/>
  <c r="DA41" i="102" s="1"/>
  <c r="DA42" i="102" s="1"/>
  <c r="DA43" i="102" s="1"/>
  <c r="DA44" i="102" s="1"/>
  <c r="DA45" i="102" s="1"/>
  <c r="DA46" i="102" s="1"/>
  <c r="DA47" i="102" s="1"/>
  <c r="DA48" i="102" s="1"/>
  <c r="DA49" i="102" s="1"/>
  <c r="DA50" i="102" s="1"/>
  <c r="DA51" i="102" s="1"/>
  <c r="DA52" i="102" s="1"/>
  <c r="DA53" i="102" s="1"/>
  <c r="DA54" i="102" s="1"/>
  <c r="DA55" i="102" s="1"/>
  <c r="BT60" i="102"/>
  <c r="BT61" i="102"/>
  <c r="BT73" i="102"/>
  <c r="CB48" i="102"/>
  <c r="BY61" i="102"/>
  <c r="Y72" i="102" l="1"/>
  <c r="AA72" i="102" s="1"/>
  <c r="BT85" i="102"/>
  <c r="I5" i="104"/>
  <c r="K5" i="104" s="1"/>
  <c r="M5" i="104" s="1"/>
  <c r="O5" i="104" s="1"/>
  <c r="Q5" i="104" s="1"/>
  <c r="S5" i="104" s="1"/>
  <c r="U5" i="104" s="1"/>
  <c r="W5" i="104" s="1"/>
  <c r="Y5" i="104" s="1"/>
  <c r="AA5" i="104" s="1"/>
  <c r="AC5" i="104" s="1"/>
  <c r="AE5" i="104" s="1"/>
  <c r="AG5" i="104" s="1"/>
  <c r="AI5" i="104" s="1"/>
  <c r="AK5" i="104" s="1"/>
  <c r="AM5" i="104" s="1"/>
  <c r="AO5" i="104" s="1"/>
  <c r="AQ5" i="104" s="1"/>
  <c r="AS5" i="104" s="1"/>
  <c r="AU5" i="104" s="1"/>
  <c r="AW5" i="104" s="1"/>
  <c r="AY5" i="104" s="1"/>
  <c r="BA5" i="104" s="1"/>
  <c r="BC5" i="104" s="1"/>
  <c r="BE5" i="104" s="1"/>
  <c r="BG5" i="104" s="1"/>
  <c r="BI5" i="104" s="1"/>
  <c r="BK5" i="104" s="1"/>
  <c r="BM5" i="104" s="1"/>
  <c r="BO5" i="104" s="1"/>
  <c r="BQ5" i="104" s="1"/>
  <c r="BS5" i="104" s="1"/>
  <c r="BW5" i="104" s="1"/>
  <c r="BZ28" i="104" s="1"/>
  <c r="BU83" i="102"/>
  <c r="BT83" i="102" s="1"/>
  <c r="BT84" i="102" s="1"/>
  <c r="I17" i="104"/>
  <c r="K17" i="104" s="1"/>
  <c r="M17" i="104" s="1"/>
  <c r="O17" i="104" s="1"/>
  <c r="Q17" i="104" s="1"/>
  <c r="S17" i="104" s="1"/>
  <c r="U17" i="104" s="1"/>
  <c r="W17" i="104" s="1"/>
  <c r="Y17" i="104" s="1"/>
  <c r="AA17" i="104" s="1"/>
  <c r="AC17" i="104" s="1"/>
  <c r="AE17" i="104" s="1"/>
  <c r="AG17" i="104" s="1"/>
  <c r="AI17" i="104" s="1"/>
  <c r="AK17" i="104" s="1"/>
  <c r="AM17" i="104" s="1"/>
  <c r="AO17" i="104" s="1"/>
  <c r="AQ17" i="104" s="1"/>
  <c r="AS17" i="104" s="1"/>
  <c r="AU17" i="104" s="1"/>
  <c r="AW17" i="104" s="1"/>
  <c r="AY17" i="104" s="1"/>
  <c r="BA17" i="104" s="1"/>
  <c r="BC17" i="104" s="1"/>
  <c r="BE17" i="104" s="1"/>
  <c r="BG17" i="104" s="1"/>
  <c r="BI17" i="104" s="1"/>
  <c r="BK17" i="104" s="1"/>
  <c r="BM17" i="104" s="1"/>
  <c r="BO17" i="104" s="1"/>
  <c r="BQ17" i="104" s="1"/>
  <c r="BS17" i="104" s="1"/>
  <c r="BW17" i="104" s="1"/>
  <c r="E57" i="104"/>
  <c r="G14" i="104"/>
  <c r="G10" i="104"/>
  <c r="G12" i="104"/>
  <c r="G23" i="104"/>
  <c r="G27" i="104"/>
  <c r="G21" i="104"/>
  <c r="G25" i="104"/>
  <c r="E63" i="104"/>
  <c r="BU84" i="102" l="1"/>
  <c r="BT17" i="104"/>
  <c r="I21" i="104"/>
  <c r="K21" i="104" s="1"/>
  <c r="M21" i="104" s="1"/>
  <c r="O21" i="104" s="1"/>
  <c r="Q21" i="104" s="1"/>
  <c r="S21" i="104" s="1"/>
  <c r="U21" i="104" s="1"/>
  <c r="W21" i="104" s="1"/>
  <c r="Y21" i="104" s="1"/>
  <c r="AA21" i="104" s="1"/>
  <c r="AC21" i="104" s="1"/>
  <c r="AE21" i="104" s="1"/>
  <c r="AG21" i="104" s="1"/>
  <c r="AI21" i="104" s="1"/>
  <c r="AK21" i="104" s="1"/>
  <c r="AM21" i="104" s="1"/>
  <c r="AO21" i="104" s="1"/>
  <c r="AQ21" i="104" s="1"/>
  <c r="AS21" i="104" s="1"/>
  <c r="AU21" i="104" s="1"/>
  <c r="AW21" i="104" s="1"/>
  <c r="AY21" i="104" s="1"/>
  <c r="BA21" i="104" s="1"/>
  <c r="BC21" i="104" s="1"/>
  <c r="BE21" i="104" s="1"/>
  <c r="BG21" i="104" s="1"/>
  <c r="BI21" i="104" s="1"/>
  <c r="BK21" i="104" s="1"/>
  <c r="BM21" i="104" s="1"/>
  <c r="BO21" i="104" s="1"/>
  <c r="BQ21" i="104" s="1"/>
  <c r="BS21" i="104" s="1"/>
  <c r="BW21" i="104" s="1"/>
  <c r="I27" i="104"/>
  <c r="K27" i="104" s="1"/>
  <c r="M27" i="104" s="1"/>
  <c r="O27" i="104" s="1"/>
  <c r="Q27" i="104" s="1"/>
  <c r="S27" i="104" s="1"/>
  <c r="U27" i="104" s="1"/>
  <c r="W27" i="104" s="1"/>
  <c r="Y27" i="104" s="1"/>
  <c r="AA27" i="104" s="1"/>
  <c r="AC27" i="104" s="1"/>
  <c r="AE27" i="104" s="1"/>
  <c r="AG27" i="104" s="1"/>
  <c r="AI27" i="104" s="1"/>
  <c r="AK27" i="104" s="1"/>
  <c r="AM27" i="104" s="1"/>
  <c r="AO27" i="104" s="1"/>
  <c r="AQ27" i="104" s="1"/>
  <c r="AS27" i="104" s="1"/>
  <c r="AU27" i="104" s="1"/>
  <c r="AW27" i="104" s="1"/>
  <c r="AY27" i="104" s="1"/>
  <c r="BA27" i="104" s="1"/>
  <c r="BC27" i="104" s="1"/>
  <c r="BE27" i="104" s="1"/>
  <c r="BG27" i="104" s="1"/>
  <c r="BI27" i="104" s="1"/>
  <c r="BK27" i="104" s="1"/>
  <c r="BM27" i="104" s="1"/>
  <c r="BO27" i="104" s="1"/>
  <c r="BQ27" i="104" s="1"/>
  <c r="BS27" i="104" s="1"/>
  <c r="BW27" i="104" s="1"/>
  <c r="I23" i="104"/>
  <c r="K23" i="104" s="1"/>
  <c r="M23" i="104" s="1"/>
  <c r="O23" i="104" s="1"/>
  <c r="Q23" i="104" s="1"/>
  <c r="S23" i="104" s="1"/>
  <c r="U23" i="104" s="1"/>
  <c r="W23" i="104" s="1"/>
  <c r="Y23" i="104" s="1"/>
  <c r="AA23" i="104" s="1"/>
  <c r="AC23" i="104" s="1"/>
  <c r="AE23" i="104" s="1"/>
  <c r="AG23" i="104" s="1"/>
  <c r="AI23" i="104" s="1"/>
  <c r="AK23" i="104" s="1"/>
  <c r="AM23" i="104" s="1"/>
  <c r="AO23" i="104" s="1"/>
  <c r="AQ23" i="104" s="1"/>
  <c r="AS23" i="104" s="1"/>
  <c r="AU23" i="104" s="1"/>
  <c r="AW23" i="104" s="1"/>
  <c r="AY23" i="104" s="1"/>
  <c r="BA23" i="104" s="1"/>
  <c r="BC23" i="104" s="1"/>
  <c r="BE23" i="104" s="1"/>
  <c r="BG23" i="104" s="1"/>
  <c r="BI23" i="104" s="1"/>
  <c r="BK23" i="104" s="1"/>
  <c r="BM23" i="104" s="1"/>
  <c r="BO23" i="104" s="1"/>
  <c r="BQ23" i="104" s="1"/>
  <c r="BS23" i="104" s="1"/>
  <c r="BW23" i="104" s="1"/>
  <c r="I12" i="104"/>
  <c r="K12" i="104" s="1"/>
  <c r="M12" i="104" s="1"/>
  <c r="O12" i="104" s="1"/>
  <c r="Q12" i="104" s="1"/>
  <c r="S12" i="104" s="1"/>
  <c r="U12" i="104" s="1"/>
  <c r="W12" i="104" s="1"/>
  <c r="Y12" i="104" s="1"/>
  <c r="AA12" i="104" s="1"/>
  <c r="AC12" i="104" s="1"/>
  <c r="AE12" i="104" s="1"/>
  <c r="AG12" i="104" s="1"/>
  <c r="AI12" i="104" s="1"/>
  <c r="AK12" i="104" s="1"/>
  <c r="AM12" i="104" s="1"/>
  <c r="AO12" i="104" s="1"/>
  <c r="AQ12" i="104" s="1"/>
  <c r="AS12" i="104" s="1"/>
  <c r="AU12" i="104" s="1"/>
  <c r="AW12" i="104" s="1"/>
  <c r="AY12" i="104" s="1"/>
  <c r="BA12" i="104" s="1"/>
  <c r="BC12" i="104" s="1"/>
  <c r="BE12" i="104" s="1"/>
  <c r="BG12" i="104" s="1"/>
  <c r="BI12" i="104" s="1"/>
  <c r="BK12" i="104" s="1"/>
  <c r="BM12" i="104" s="1"/>
  <c r="BO12" i="104" s="1"/>
  <c r="BQ12" i="104" s="1"/>
  <c r="BS12" i="104" s="1"/>
  <c r="BW12" i="104" s="1"/>
  <c r="BT5" i="104"/>
  <c r="I14" i="104"/>
  <c r="K14" i="104" s="1"/>
  <c r="M14" i="104" s="1"/>
  <c r="O14" i="104" s="1"/>
  <c r="Q14" i="104" s="1"/>
  <c r="S14" i="104" s="1"/>
  <c r="U14" i="104" s="1"/>
  <c r="W14" i="104" s="1"/>
  <c r="Y14" i="104" s="1"/>
  <c r="AA14" i="104" s="1"/>
  <c r="AC14" i="104" s="1"/>
  <c r="AE14" i="104" s="1"/>
  <c r="AG14" i="104" s="1"/>
  <c r="AI14" i="104" s="1"/>
  <c r="AK14" i="104" s="1"/>
  <c r="AM14" i="104" s="1"/>
  <c r="AO14" i="104" s="1"/>
  <c r="AQ14" i="104" s="1"/>
  <c r="AS14" i="104" s="1"/>
  <c r="AU14" i="104" s="1"/>
  <c r="AW14" i="104" s="1"/>
  <c r="AY14" i="104" s="1"/>
  <c r="BA14" i="104" s="1"/>
  <c r="BC14" i="104" s="1"/>
  <c r="BE14" i="104" s="1"/>
  <c r="BG14" i="104" s="1"/>
  <c r="BI14" i="104" s="1"/>
  <c r="BK14" i="104" s="1"/>
  <c r="BM14" i="104" s="1"/>
  <c r="BO14" i="104" s="1"/>
  <c r="BQ14" i="104" s="1"/>
  <c r="BS14" i="104" s="1"/>
  <c r="BW14" i="104" s="1"/>
  <c r="I25" i="104"/>
  <c r="K25" i="104" s="1"/>
  <c r="M25" i="104" s="1"/>
  <c r="O25" i="104" s="1"/>
  <c r="Q25" i="104" s="1"/>
  <c r="S25" i="104" s="1"/>
  <c r="U25" i="104" s="1"/>
  <c r="W25" i="104" s="1"/>
  <c r="Y25" i="104" s="1"/>
  <c r="AA25" i="104" s="1"/>
  <c r="AC25" i="104" s="1"/>
  <c r="AE25" i="104" s="1"/>
  <c r="AG25" i="104" s="1"/>
  <c r="AI25" i="104" s="1"/>
  <c r="AK25" i="104" s="1"/>
  <c r="AM25" i="104" s="1"/>
  <c r="AO25" i="104" s="1"/>
  <c r="AQ25" i="104" s="1"/>
  <c r="AS25" i="104" s="1"/>
  <c r="AU25" i="104" s="1"/>
  <c r="AW25" i="104" s="1"/>
  <c r="AY25" i="104" s="1"/>
  <c r="BA25" i="104" s="1"/>
  <c r="BC25" i="104" s="1"/>
  <c r="BE25" i="104" s="1"/>
  <c r="BG25" i="104" s="1"/>
  <c r="BI25" i="104" s="1"/>
  <c r="BK25" i="104" s="1"/>
  <c r="BM25" i="104" s="1"/>
  <c r="BO25" i="104" s="1"/>
  <c r="BQ25" i="104" s="1"/>
  <c r="BS25" i="104" s="1"/>
  <c r="BW25" i="104" s="1"/>
  <c r="I10" i="104"/>
  <c r="G30" i="104"/>
  <c r="G63" i="104"/>
  <c r="I63" i="104" s="1"/>
  <c r="K63" i="104" s="1"/>
  <c r="G65" i="104"/>
  <c r="I65" i="104" s="1"/>
  <c r="K65" i="104" s="1"/>
  <c r="G67" i="104"/>
  <c r="I67" i="104" s="1"/>
  <c r="K67" i="104" s="1"/>
  <c r="D63" i="104"/>
  <c r="G69" i="104"/>
  <c r="I69" i="104" s="1"/>
  <c r="K69" i="104" s="1"/>
  <c r="G55" i="104"/>
  <c r="I55" i="104" s="1"/>
  <c r="K55" i="104" s="1"/>
  <c r="G53" i="104"/>
  <c r="G57" i="104"/>
  <c r="I57" i="104" s="1"/>
  <c r="K57" i="104" s="1"/>
  <c r="D57" i="104"/>
  <c r="AA76" i="102"/>
  <c r="AA78" i="102"/>
  <c r="BT87" i="102"/>
  <c r="BT14" i="104" l="1"/>
  <c r="BT25" i="104"/>
  <c r="I30" i="104"/>
  <c r="K10" i="104"/>
  <c r="M10" i="104" s="1"/>
  <c r="BT23" i="104"/>
  <c r="BT27" i="104"/>
  <c r="I53" i="104"/>
  <c r="BT21" i="104"/>
  <c r="D60" i="104"/>
  <c r="E60" i="104" s="1"/>
  <c r="G60" i="104" s="1"/>
  <c r="I60" i="104" s="1"/>
  <c r="K60" i="104" s="1"/>
  <c r="BT12" i="104"/>
  <c r="I72" i="104" l="1"/>
  <c r="K53" i="104"/>
  <c r="K72" i="104" s="1"/>
  <c r="G72" i="104"/>
  <c r="M30" i="104"/>
  <c r="O10" i="104"/>
  <c r="Q10" i="104" s="1"/>
  <c r="D66" i="104"/>
  <c r="S10" i="104" l="1"/>
  <c r="U10" i="104" s="1"/>
  <c r="Q30" i="104"/>
  <c r="U30" i="104" l="1"/>
  <c r="W10" i="104"/>
  <c r="Y10" i="104" s="1"/>
  <c r="Y30" i="104" l="1"/>
  <c r="AA10" i="104"/>
  <c r="AC10" i="104" s="1"/>
  <c r="AE10" i="104" l="1"/>
  <c r="AG10" i="104" s="1"/>
  <c r="AC30" i="104"/>
  <c r="AG30" i="104" l="1"/>
  <c r="AI10" i="104"/>
  <c r="AK10" i="104" s="1"/>
  <c r="AM10" i="104" l="1"/>
  <c r="AO10" i="104" s="1"/>
  <c r="AK30" i="104"/>
  <c r="AO30" i="104" l="1"/>
  <c r="AQ10" i="104"/>
  <c r="AS10" i="104" s="1"/>
  <c r="AS30" i="104" l="1"/>
  <c r="AU10" i="104"/>
  <c r="AW10" i="104" s="1"/>
  <c r="AY10" i="104" l="1"/>
  <c r="BA10" i="104" s="1"/>
  <c r="AW30" i="104"/>
  <c r="BA30" i="104" l="1"/>
  <c r="BC10" i="104"/>
  <c r="BE10" i="104" s="1"/>
  <c r="BE30" i="104" l="1"/>
  <c r="BG10" i="104"/>
  <c r="BI10" i="104" s="1"/>
  <c r="BK10" i="104" l="1"/>
  <c r="BM10" i="104" s="1"/>
  <c r="BI30" i="104"/>
  <c r="BM30" i="104" l="1"/>
  <c r="BO10" i="104"/>
  <c r="BQ10" i="104" s="1"/>
  <c r="BQ30" i="104" l="1"/>
  <c r="BT30" i="104" s="1"/>
  <c r="BS10" i="104"/>
  <c r="BW10" i="104" s="1"/>
  <c r="BW29" i="104" s="1"/>
  <c r="BY29" i="104" s="1"/>
  <c r="BZ29" i="104" s="1"/>
  <c r="CZ46" i="105" s="1"/>
  <c r="CZ47" i="105" s="1"/>
  <c r="BT10" i="104"/>
  <c r="BT29" i="104" s="1"/>
  <c r="BT33" i="104" s="1"/>
  <c r="BT34" i="104" s="1"/>
  <c r="DB32" i="105" l="1"/>
  <c r="E8" i="105"/>
  <c r="L72" i="104"/>
  <c r="M72" i="104" s="1"/>
  <c r="BW31" i="104"/>
  <c r="BT48" i="104"/>
  <c r="BW32" i="104"/>
  <c r="BY32" i="104" s="1"/>
  <c r="CZ32" i="105" l="1"/>
  <c r="E11" i="105"/>
  <c r="E51" i="105"/>
  <c r="BY48" i="104"/>
  <c r="BY50" i="104" s="1"/>
  <c r="BY57" i="104" s="1"/>
  <c r="BZ57" i="104" s="1"/>
  <c r="BZ58" i="104" s="1"/>
  <c r="BY56" i="104" s="1"/>
  <c r="BY60" i="104"/>
  <c r="BT49" i="104"/>
  <c r="BV39" i="104" s="1"/>
  <c r="BT56" i="104"/>
  <c r="Q72" i="104"/>
  <c r="S72" i="104"/>
  <c r="E14" i="105" l="1"/>
  <c r="E5" i="105"/>
  <c r="G5" i="105" s="1"/>
  <c r="E17" i="105"/>
  <c r="G17" i="105" s="1"/>
  <c r="E21" i="105"/>
  <c r="U72" i="104"/>
  <c r="BT77" i="104"/>
  <c r="E17" i="110" s="1"/>
  <c r="BT81" i="104"/>
  <c r="BT73" i="104"/>
  <c r="BT69" i="104"/>
  <c r="BT79" i="104"/>
  <c r="E18" i="108" s="1"/>
  <c r="BT67" i="104"/>
  <c r="BT78" i="104"/>
  <c r="E17" i="109" s="1"/>
  <c r="BT63" i="104"/>
  <c r="BT68" i="104"/>
  <c r="BT66" i="104"/>
  <c r="BT70" i="104"/>
  <c r="BT80" i="104"/>
  <c r="BT62" i="104"/>
  <c r="BT75" i="104"/>
  <c r="BT76" i="104"/>
  <c r="BT72" i="104"/>
  <c r="BT74" i="104"/>
  <c r="BU65" i="104"/>
  <c r="BU82" i="104" s="1"/>
  <c r="BT71" i="104"/>
  <c r="BT58" i="104"/>
  <c r="BT60" i="104"/>
  <c r="BT61" i="104"/>
  <c r="BT59" i="104"/>
  <c r="BY61" i="104"/>
  <c r="CB48" i="104"/>
  <c r="G23" i="105" l="1"/>
  <c r="E63" i="105"/>
  <c r="G25" i="105"/>
  <c r="G21" i="105"/>
  <c r="G27" i="105"/>
  <c r="I17" i="105"/>
  <c r="K17" i="105" s="1"/>
  <c r="M17" i="105" s="1"/>
  <c r="O17" i="105" s="1"/>
  <c r="Q17" i="105" s="1"/>
  <c r="S17" i="105" s="1"/>
  <c r="U17" i="105" s="1"/>
  <c r="W17" i="105" s="1"/>
  <c r="Y17" i="105" s="1"/>
  <c r="AA17" i="105" s="1"/>
  <c r="AC17" i="105" s="1"/>
  <c r="AE17" i="105" s="1"/>
  <c r="AG17" i="105" s="1"/>
  <c r="AI17" i="105" s="1"/>
  <c r="AK17" i="105" s="1"/>
  <c r="AM17" i="105" s="1"/>
  <c r="AO17" i="105" s="1"/>
  <c r="AQ17" i="105" s="1"/>
  <c r="AS17" i="105" s="1"/>
  <c r="AU17" i="105" s="1"/>
  <c r="AW17" i="105" s="1"/>
  <c r="AY17" i="105" s="1"/>
  <c r="BA17" i="105" s="1"/>
  <c r="BC17" i="105" s="1"/>
  <c r="BE17" i="105" s="1"/>
  <c r="BG17" i="105" s="1"/>
  <c r="BI17" i="105" s="1"/>
  <c r="BK17" i="105" s="1"/>
  <c r="BM17" i="105" s="1"/>
  <c r="BO17" i="105" s="1"/>
  <c r="BQ17" i="105" s="1"/>
  <c r="BS17" i="105" s="1"/>
  <c r="BU17" i="105" s="1"/>
  <c r="BW17" i="105" s="1"/>
  <c r="BY17" i="105" s="1"/>
  <c r="CA17" i="105" s="1"/>
  <c r="CC17" i="105" s="1"/>
  <c r="CE17" i="105" s="1"/>
  <c r="CG17" i="105" s="1"/>
  <c r="CI17" i="105" s="1"/>
  <c r="CK17" i="105" s="1"/>
  <c r="CM17" i="105" s="1"/>
  <c r="CO17" i="105" s="1"/>
  <c r="CQ17" i="105" s="1"/>
  <c r="CS17" i="105" s="1"/>
  <c r="CU17" i="105" s="1"/>
  <c r="CW17" i="105" s="1"/>
  <c r="CY17" i="105" s="1"/>
  <c r="DC17" i="105" s="1"/>
  <c r="I5" i="105"/>
  <c r="K5" i="105" s="1"/>
  <c r="M5" i="105" s="1"/>
  <c r="O5" i="105" s="1"/>
  <c r="Q5" i="105" s="1"/>
  <c r="S5" i="105" s="1"/>
  <c r="U5" i="105" s="1"/>
  <c r="W5" i="105" s="1"/>
  <c r="Y5" i="105" s="1"/>
  <c r="AA5" i="105" s="1"/>
  <c r="AC5" i="105" s="1"/>
  <c r="AE5" i="105" s="1"/>
  <c r="AG5" i="105" s="1"/>
  <c r="AI5" i="105" s="1"/>
  <c r="AK5" i="105" s="1"/>
  <c r="AM5" i="105" s="1"/>
  <c r="AO5" i="105" s="1"/>
  <c r="AQ5" i="105" s="1"/>
  <c r="AS5" i="105" s="1"/>
  <c r="AU5" i="105" s="1"/>
  <c r="AW5" i="105" s="1"/>
  <c r="AY5" i="105" s="1"/>
  <c r="BA5" i="105" s="1"/>
  <c r="BC5" i="105" s="1"/>
  <c r="BE5" i="105" s="1"/>
  <c r="BG5" i="105" s="1"/>
  <c r="BI5" i="105" s="1"/>
  <c r="BK5" i="105" s="1"/>
  <c r="BM5" i="105" s="1"/>
  <c r="BO5" i="105" s="1"/>
  <c r="BQ5" i="105" s="1"/>
  <c r="BS5" i="105" s="1"/>
  <c r="BU5" i="105" s="1"/>
  <c r="BW5" i="105" s="1"/>
  <c r="BY5" i="105" s="1"/>
  <c r="CA5" i="105" s="1"/>
  <c r="CC5" i="105" s="1"/>
  <c r="CE5" i="105" s="1"/>
  <c r="CG5" i="105" s="1"/>
  <c r="CI5" i="105" s="1"/>
  <c r="CK5" i="105" s="1"/>
  <c r="CM5" i="105" s="1"/>
  <c r="CO5" i="105" s="1"/>
  <c r="CQ5" i="105" s="1"/>
  <c r="CS5" i="105" s="1"/>
  <c r="CU5" i="105" s="1"/>
  <c r="CW5" i="105" s="1"/>
  <c r="CY5" i="105" s="1"/>
  <c r="DC5" i="105" s="1"/>
  <c r="DF28" i="105" s="1"/>
  <c r="E57" i="105"/>
  <c r="G12" i="105"/>
  <c r="G10" i="105"/>
  <c r="G14" i="105"/>
  <c r="Y72" i="104"/>
  <c r="AA72" i="104" s="1"/>
  <c r="BT85" i="104"/>
  <c r="DA25" i="104"/>
  <c r="DA26" i="104" s="1"/>
  <c r="DA27" i="104" s="1"/>
  <c r="DA28" i="104" s="1"/>
  <c r="DA29" i="104" s="1"/>
  <c r="DA30" i="104" s="1"/>
  <c r="DA31" i="104" s="1"/>
  <c r="DA32" i="104" s="1"/>
  <c r="DA33" i="104" s="1"/>
  <c r="DA34" i="104" s="1"/>
  <c r="DA35" i="104" s="1"/>
  <c r="DA36" i="104" s="1"/>
  <c r="DA37" i="104" s="1"/>
  <c r="DA38" i="104" s="1"/>
  <c r="DA39" i="104" s="1"/>
  <c r="DA40" i="104" s="1"/>
  <c r="DA41" i="104" s="1"/>
  <c r="DA42" i="104" s="1"/>
  <c r="DA43" i="104" s="1"/>
  <c r="DA44" i="104" s="1"/>
  <c r="DA45" i="104" s="1"/>
  <c r="DA46" i="104" s="1"/>
  <c r="DA47" i="104" s="1"/>
  <c r="DA48" i="104" s="1"/>
  <c r="DA49" i="104" s="1"/>
  <c r="DA50" i="104" s="1"/>
  <c r="DA51" i="104" s="1"/>
  <c r="DA52" i="104" s="1"/>
  <c r="DA53" i="104" s="1"/>
  <c r="DA54" i="104" s="1"/>
  <c r="DA55" i="104" s="1"/>
  <c r="BU83" i="104"/>
  <c r="BT83" i="104" s="1"/>
  <c r="BT84" i="104" s="1"/>
  <c r="CZ17" i="105" l="1"/>
  <c r="I14" i="105"/>
  <c r="K14" i="105" s="1"/>
  <c r="M14" i="105" s="1"/>
  <c r="O14" i="105" s="1"/>
  <c r="Q14" i="105" s="1"/>
  <c r="S14" i="105" s="1"/>
  <c r="U14" i="105" s="1"/>
  <c r="W14" i="105" s="1"/>
  <c r="Y14" i="105" s="1"/>
  <c r="AA14" i="105" s="1"/>
  <c r="AC14" i="105" s="1"/>
  <c r="AE14" i="105" s="1"/>
  <c r="AG14" i="105" s="1"/>
  <c r="AI14" i="105" s="1"/>
  <c r="AK14" i="105" s="1"/>
  <c r="AM14" i="105" s="1"/>
  <c r="AO14" i="105" s="1"/>
  <c r="AQ14" i="105" s="1"/>
  <c r="AS14" i="105" s="1"/>
  <c r="AU14" i="105" s="1"/>
  <c r="AW14" i="105" s="1"/>
  <c r="AY14" i="105" s="1"/>
  <c r="BA14" i="105" s="1"/>
  <c r="BC14" i="105" s="1"/>
  <c r="BE14" i="105" s="1"/>
  <c r="BG14" i="105" s="1"/>
  <c r="BI14" i="105" s="1"/>
  <c r="BK14" i="105" s="1"/>
  <c r="BM14" i="105" s="1"/>
  <c r="BO14" i="105" s="1"/>
  <c r="BQ14" i="105" s="1"/>
  <c r="BS14" i="105" s="1"/>
  <c r="BU14" i="105" s="1"/>
  <c r="BW14" i="105" s="1"/>
  <c r="BY14" i="105" s="1"/>
  <c r="CA14" i="105" s="1"/>
  <c r="CC14" i="105" s="1"/>
  <c r="CE14" i="105" s="1"/>
  <c r="CG14" i="105" s="1"/>
  <c r="CI14" i="105" s="1"/>
  <c r="CK14" i="105" s="1"/>
  <c r="CM14" i="105" s="1"/>
  <c r="CO14" i="105" s="1"/>
  <c r="CQ14" i="105" s="1"/>
  <c r="CS14" i="105" s="1"/>
  <c r="CU14" i="105" s="1"/>
  <c r="CW14" i="105" s="1"/>
  <c r="CY14" i="105" s="1"/>
  <c r="DC14" i="105" s="1"/>
  <c r="I10" i="105"/>
  <c r="G30" i="105"/>
  <c r="I12" i="105"/>
  <c r="K12" i="105" s="1"/>
  <c r="M12" i="105" s="1"/>
  <c r="O12" i="105" s="1"/>
  <c r="Q12" i="105" s="1"/>
  <c r="S12" i="105" s="1"/>
  <c r="U12" i="105" s="1"/>
  <c r="W12" i="105" s="1"/>
  <c r="Y12" i="105" s="1"/>
  <c r="AA12" i="105" s="1"/>
  <c r="AC12" i="105" s="1"/>
  <c r="AE12" i="105" s="1"/>
  <c r="AG12" i="105" s="1"/>
  <c r="AI12" i="105" s="1"/>
  <c r="AK12" i="105" s="1"/>
  <c r="AM12" i="105" s="1"/>
  <c r="AO12" i="105" s="1"/>
  <c r="AQ12" i="105" s="1"/>
  <c r="AS12" i="105" s="1"/>
  <c r="AU12" i="105" s="1"/>
  <c r="AW12" i="105" s="1"/>
  <c r="AY12" i="105" s="1"/>
  <c r="BA12" i="105" s="1"/>
  <c r="BC12" i="105" s="1"/>
  <c r="BE12" i="105" s="1"/>
  <c r="BG12" i="105" s="1"/>
  <c r="BI12" i="105" s="1"/>
  <c r="BK12" i="105" s="1"/>
  <c r="BM12" i="105" s="1"/>
  <c r="BO12" i="105" s="1"/>
  <c r="BQ12" i="105" s="1"/>
  <c r="BS12" i="105" s="1"/>
  <c r="BU12" i="105" s="1"/>
  <c r="BW12" i="105" s="1"/>
  <c r="BY12" i="105" s="1"/>
  <c r="CA12" i="105" s="1"/>
  <c r="CC12" i="105" s="1"/>
  <c r="CE12" i="105" s="1"/>
  <c r="CG12" i="105" s="1"/>
  <c r="CI12" i="105" s="1"/>
  <c r="CK12" i="105" s="1"/>
  <c r="CM12" i="105" s="1"/>
  <c r="CO12" i="105" s="1"/>
  <c r="CQ12" i="105" s="1"/>
  <c r="CS12" i="105" s="1"/>
  <c r="CU12" i="105" s="1"/>
  <c r="CW12" i="105" s="1"/>
  <c r="CY12" i="105" s="1"/>
  <c r="DC12" i="105" s="1"/>
  <c r="I25" i="105"/>
  <c r="K25" i="105" s="1"/>
  <c r="M25" i="105" s="1"/>
  <c r="O25" i="105" s="1"/>
  <c r="Q25" i="105" s="1"/>
  <c r="S25" i="105" s="1"/>
  <c r="U25" i="105" s="1"/>
  <c r="W25" i="105" s="1"/>
  <c r="Y25" i="105" s="1"/>
  <c r="AA25" i="105" s="1"/>
  <c r="AC25" i="105" s="1"/>
  <c r="AE25" i="105" s="1"/>
  <c r="AG25" i="105" s="1"/>
  <c r="AI25" i="105" s="1"/>
  <c r="AK25" i="105" s="1"/>
  <c r="AM25" i="105" s="1"/>
  <c r="AO25" i="105" s="1"/>
  <c r="AQ25" i="105" s="1"/>
  <c r="AS25" i="105" s="1"/>
  <c r="AU25" i="105" s="1"/>
  <c r="AW25" i="105" s="1"/>
  <c r="AY25" i="105" s="1"/>
  <c r="BA25" i="105" s="1"/>
  <c r="BC25" i="105" s="1"/>
  <c r="BE25" i="105" s="1"/>
  <c r="BG25" i="105" s="1"/>
  <c r="BI25" i="105" s="1"/>
  <c r="BK25" i="105" s="1"/>
  <c r="BM25" i="105" s="1"/>
  <c r="BO25" i="105" s="1"/>
  <c r="BQ25" i="105" s="1"/>
  <c r="BS25" i="105" s="1"/>
  <c r="BU25" i="105" s="1"/>
  <c r="BW25" i="105" s="1"/>
  <c r="BY25" i="105" s="1"/>
  <c r="CA25" i="105" s="1"/>
  <c r="CC25" i="105" s="1"/>
  <c r="CE25" i="105" s="1"/>
  <c r="CG25" i="105" s="1"/>
  <c r="CI25" i="105" s="1"/>
  <c r="CK25" i="105" s="1"/>
  <c r="CM25" i="105" s="1"/>
  <c r="CO25" i="105" s="1"/>
  <c r="CQ25" i="105" s="1"/>
  <c r="CS25" i="105" s="1"/>
  <c r="CU25" i="105" s="1"/>
  <c r="CW25" i="105" s="1"/>
  <c r="CY25" i="105" s="1"/>
  <c r="DC25" i="105" s="1"/>
  <c r="G57" i="105"/>
  <c r="I57" i="105" s="1"/>
  <c r="K57" i="105" s="1"/>
  <c r="G55" i="105"/>
  <c r="I55" i="105" s="1"/>
  <c r="K55" i="105" s="1"/>
  <c r="D57" i="105"/>
  <c r="G53" i="105"/>
  <c r="D63" i="105"/>
  <c r="G65" i="105"/>
  <c r="I65" i="105" s="1"/>
  <c r="K65" i="105" s="1"/>
  <c r="G69" i="105"/>
  <c r="I69" i="105" s="1"/>
  <c r="K69" i="105" s="1"/>
  <c r="G63" i="105"/>
  <c r="I63" i="105" s="1"/>
  <c r="K63" i="105" s="1"/>
  <c r="G67" i="105"/>
  <c r="I67" i="105" s="1"/>
  <c r="K67" i="105" s="1"/>
  <c r="I27" i="105"/>
  <c r="K27" i="105" s="1"/>
  <c r="M27" i="105" s="1"/>
  <c r="O27" i="105" s="1"/>
  <c r="Q27" i="105" s="1"/>
  <c r="S27" i="105" s="1"/>
  <c r="U27" i="105" s="1"/>
  <c r="W27" i="105" s="1"/>
  <c r="Y27" i="105" s="1"/>
  <c r="AA27" i="105" s="1"/>
  <c r="AC27" i="105" s="1"/>
  <c r="AE27" i="105" s="1"/>
  <c r="AG27" i="105" s="1"/>
  <c r="AI27" i="105" s="1"/>
  <c r="AK27" i="105" s="1"/>
  <c r="AM27" i="105" s="1"/>
  <c r="AO27" i="105" s="1"/>
  <c r="AQ27" i="105" s="1"/>
  <c r="AS27" i="105" s="1"/>
  <c r="AU27" i="105" s="1"/>
  <c r="AW27" i="105" s="1"/>
  <c r="AY27" i="105" s="1"/>
  <c r="BA27" i="105" s="1"/>
  <c r="BC27" i="105" s="1"/>
  <c r="BE27" i="105" s="1"/>
  <c r="BG27" i="105" s="1"/>
  <c r="BI27" i="105" s="1"/>
  <c r="BK27" i="105" s="1"/>
  <c r="BM27" i="105" s="1"/>
  <c r="BO27" i="105" s="1"/>
  <c r="BQ27" i="105" s="1"/>
  <c r="BS27" i="105" s="1"/>
  <c r="BU27" i="105" s="1"/>
  <c r="BW27" i="105" s="1"/>
  <c r="BY27" i="105" s="1"/>
  <c r="CA27" i="105" s="1"/>
  <c r="CC27" i="105" s="1"/>
  <c r="CE27" i="105" s="1"/>
  <c r="CG27" i="105" s="1"/>
  <c r="CI27" i="105" s="1"/>
  <c r="CK27" i="105" s="1"/>
  <c r="CM27" i="105" s="1"/>
  <c r="CO27" i="105" s="1"/>
  <c r="CQ27" i="105" s="1"/>
  <c r="CS27" i="105" s="1"/>
  <c r="CU27" i="105" s="1"/>
  <c r="CW27" i="105" s="1"/>
  <c r="CY27" i="105" s="1"/>
  <c r="DC27" i="105" s="1"/>
  <c r="I21" i="105"/>
  <c r="K21" i="105" s="1"/>
  <c r="M21" i="105" s="1"/>
  <c r="O21" i="105" s="1"/>
  <c r="Q21" i="105" s="1"/>
  <c r="S21" i="105" s="1"/>
  <c r="U21" i="105" s="1"/>
  <c r="W21" i="105" s="1"/>
  <c r="Y21" i="105" s="1"/>
  <c r="AA21" i="105" s="1"/>
  <c r="AC21" i="105" s="1"/>
  <c r="AE21" i="105" s="1"/>
  <c r="AG21" i="105" s="1"/>
  <c r="AI21" i="105" s="1"/>
  <c r="AK21" i="105" s="1"/>
  <c r="AM21" i="105" s="1"/>
  <c r="AO21" i="105" s="1"/>
  <c r="AQ21" i="105" s="1"/>
  <c r="AS21" i="105" s="1"/>
  <c r="AU21" i="105" s="1"/>
  <c r="AW21" i="105" s="1"/>
  <c r="AY21" i="105" s="1"/>
  <c r="BA21" i="105" s="1"/>
  <c r="BC21" i="105" s="1"/>
  <c r="BE21" i="105" s="1"/>
  <c r="BG21" i="105" s="1"/>
  <c r="BI21" i="105" s="1"/>
  <c r="BK21" i="105" s="1"/>
  <c r="BM21" i="105" s="1"/>
  <c r="BO21" i="105" s="1"/>
  <c r="BQ21" i="105" s="1"/>
  <c r="BS21" i="105" s="1"/>
  <c r="BU21" i="105" s="1"/>
  <c r="BW21" i="105" s="1"/>
  <c r="BY21" i="105" s="1"/>
  <c r="CA21" i="105" s="1"/>
  <c r="CC21" i="105" s="1"/>
  <c r="CE21" i="105" s="1"/>
  <c r="CG21" i="105" s="1"/>
  <c r="CI21" i="105" s="1"/>
  <c r="CK21" i="105" s="1"/>
  <c r="CM21" i="105" s="1"/>
  <c r="CO21" i="105" s="1"/>
  <c r="CQ21" i="105" s="1"/>
  <c r="CS21" i="105" s="1"/>
  <c r="CU21" i="105" s="1"/>
  <c r="CW21" i="105" s="1"/>
  <c r="CY21" i="105" s="1"/>
  <c r="DC21" i="105" s="1"/>
  <c r="CZ5" i="105"/>
  <c r="I23" i="105"/>
  <c r="K23" i="105" s="1"/>
  <c r="M23" i="105" s="1"/>
  <c r="O23" i="105" s="1"/>
  <c r="Q23" i="105" s="1"/>
  <c r="S23" i="105" s="1"/>
  <c r="U23" i="105" s="1"/>
  <c r="W23" i="105" s="1"/>
  <c r="Y23" i="105" s="1"/>
  <c r="AA23" i="105" s="1"/>
  <c r="AC23" i="105" s="1"/>
  <c r="AE23" i="105" s="1"/>
  <c r="AG23" i="105" s="1"/>
  <c r="AI23" i="105" s="1"/>
  <c r="AK23" i="105" s="1"/>
  <c r="AM23" i="105" s="1"/>
  <c r="AO23" i="105" s="1"/>
  <c r="AQ23" i="105" s="1"/>
  <c r="AS23" i="105" s="1"/>
  <c r="AU23" i="105" s="1"/>
  <c r="AW23" i="105" s="1"/>
  <c r="AY23" i="105" s="1"/>
  <c r="BA23" i="105" s="1"/>
  <c r="BC23" i="105" s="1"/>
  <c r="BE23" i="105" s="1"/>
  <c r="BG23" i="105" s="1"/>
  <c r="BI23" i="105" s="1"/>
  <c r="BK23" i="105" s="1"/>
  <c r="BM23" i="105" s="1"/>
  <c r="BO23" i="105" s="1"/>
  <c r="BQ23" i="105" s="1"/>
  <c r="BS23" i="105" s="1"/>
  <c r="BU23" i="105" s="1"/>
  <c r="BW23" i="105" s="1"/>
  <c r="BY23" i="105" s="1"/>
  <c r="CA23" i="105" s="1"/>
  <c r="CC23" i="105" s="1"/>
  <c r="CE23" i="105" s="1"/>
  <c r="CG23" i="105" s="1"/>
  <c r="CI23" i="105" s="1"/>
  <c r="CK23" i="105" s="1"/>
  <c r="CM23" i="105" s="1"/>
  <c r="CO23" i="105" s="1"/>
  <c r="CQ23" i="105" s="1"/>
  <c r="CS23" i="105" s="1"/>
  <c r="CU23" i="105" s="1"/>
  <c r="CW23" i="105" s="1"/>
  <c r="CY23" i="105" s="1"/>
  <c r="DC23" i="105" s="1"/>
  <c r="BU84" i="104"/>
  <c r="AA76" i="104"/>
  <c r="AA78" i="104"/>
  <c r="BT87" i="104"/>
  <c r="CZ21" i="105" l="1"/>
  <c r="CZ25" i="105"/>
  <c r="CZ27" i="105"/>
  <c r="D60" i="105"/>
  <c r="E60" i="105" s="1"/>
  <c r="G60" i="105" s="1"/>
  <c r="I60" i="105" s="1"/>
  <c r="K60" i="105" s="1"/>
  <c r="D66" i="105"/>
  <c r="I30" i="105"/>
  <c r="K10" i="105"/>
  <c r="M10" i="105" s="1"/>
  <c r="CZ23" i="105"/>
  <c r="CZ12" i="105"/>
  <c r="I53" i="105"/>
  <c r="CZ14" i="105"/>
  <c r="G72" i="105" l="1"/>
  <c r="I72" i="105"/>
  <c r="K53" i="105"/>
  <c r="K72" i="105" s="1"/>
  <c r="O10" i="105"/>
  <c r="Q10" i="105" s="1"/>
  <c r="M30" i="105"/>
  <c r="Q30" i="105" l="1"/>
  <c r="S10" i="105"/>
  <c r="U10" i="105" s="1"/>
  <c r="U30" i="105" l="1"/>
  <c r="W10" i="105"/>
  <c r="Y10" i="105" s="1"/>
  <c r="Y30" i="105" l="1"/>
  <c r="AA10" i="105"/>
  <c r="AC10" i="105" s="1"/>
  <c r="AE10" i="105" l="1"/>
  <c r="AG10" i="105" s="1"/>
  <c r="AC30" i="105"/>
  <c r="AG30" i="105" l="1"/>
  <c r="AI10" i="105"/>
  <c r="AK10" i="105" s="1"/>
  <c r="AM10" i="105" l="1"/>
  <c r="AO10" i="105" s="1"/>
  <c r="AK30" i="105"/>
  <c r="AQ10" i="105" l="1"/>
  <c r="AS10" i="105" s="1"/>
  <c r="AO30" i="105"/>
  <c r="AS30" i="105" l="1"/>
  <c r="AU10" i="105"/>
  <c r="AW10" i="105" s="1"/>
  <c r="AY10" i="105" l="1"/>
  <c r="BA10" i="105" s="1"/>
  <c r="AW30" i="105"/>
  <c r="BA30" i="105" l="1"/>
  <c r="BC10" i="105"/>
  <c r="BE10" i="105" s="1"/>
  <c r="BE30" i="105" l="1"/>
  <c r="BG10" i="105"/>
  <c r="BI10" i="105" s="1"/>
  <c r="BI30" i="105" l="1"/>
  <c r="BK10" i="105"/>
  <c r="BM10" i="105" s="1"/>
  <c r="BO10" i="105" l="1"/>
  <c r="BQ10" i="105" s="1"/>
  <c r="BM30" i="105"/>
  <c r="BQ30" i="105" l="1"/>
  <c r="BS10" i="105"/>
  <c r="BU10" i="105" s="1"/>
  <c r="BW10" i="105" l="1"/>
  <c r="BY10" i="105" s="1"/>
  <c r="BU30" i="105"/>
  <c r="BY30" i="105" l="1"/>
  <c r="CA10" i="105"/>
  <c r="CC10" i="105" s="1"/>
  <c r="CE10" i="105" l="1"/>
  <c r="CG10" i="105" s="1"/>
  <c r="CC30" i="105"/>
  <c r="CG30" i="105" l="1"/>
  <c r="CI10" i="105"/>
  <c r="CK10" i="105" s="1"/>
  <c r="CM10" i="105" l="1"/>
  <c r="CO10" i="105" s="1"/>
  <c r="CK30" i="105"/>
  <c r="CQ10" i="105" l="1"/>
  <c r="CS10" i="105" s="1"/>
  <c r="CO30" i="105"/>
  <c r="CS30" i="105" l="1"/>
  <c r="CU10" i="105"/>
  <c r="CW10" i="105" s="1"/>
  <c r="CZ10" i="105" l="1"/>
  <c r="CZ29" i="105" s="1"/>
  <c r="CZ33" i="105" s="1"/>
  <c r="CZ34" i="105" s="1"/>
  <c r="CW30" i="105"/>
  <c r="CZ30" i="105" s="1"/>
  <c r="CY10" i="105"/>
  <c r="DC10" i="105" s="1"/>
  <c r="DC29" i="105" s="1"/>
  <c r="DE29" i="105" s="1"/>
  <c r="DF29" i="105" s="1"/>
  <c r="CZ46" i="106" s="1"/>
  <c r="CZ47" i="106" s="1"/>
  <c r="DB32" i="106" l="1"/>
  <c r="E8" i="106"/>
  <c r="L72" i="105"/>
  <c r="M72" i="105" s="1"/>
  <c r="DC31" i="105"/>
  <c r="CZ48" i="105"/>
  <c r="DC32" i="105"/>
  <c r="DE32" i="105" s="1"/>
  <c r="CZ49" i="105" l="1"/>
  <c r="DB39" i="105" s="1"/>
  <c r="CZ56" i="105"/>
  <c r="DE48" i="105"/>
  <c r="DE50" i="105" s="1"/>
  <c r="DE57" i="105" s="1"/>
  <c r="DF57" i="105" s="1"/>
  <c r="DF58" i="105" s="1"/>
  <c r="DE56" i="105" s="1"/>
  <c r="DE60" i="105"/>
  <c r="Q72" i="105"/>
  <c r="S72" i="105"/>
  <c r="CZ32" i="106"/>
  <c r="E51" i="106"/>
  <c r="E11" i="106"/>
  <c r="DE61" i="105" l="1"/>
  <c r="DH48" i="105"/>
  <c r="CZ78" i="105"/>
  <c r="E18" i="109" s="1"/>
  <c r="CZ58" i="105"/>
  <c r="EG25" i="105" s="1"/>
  <c r="EG26" i="105" s="1"/>
  <c r="EG27" i="105" s="1"/>
  <c r="EG28" i="105" s="1"/>
  <c r="EG29" i="105" s="1"/>
  <c r="EG30" i="105" s="1"/>
  <c r="EG31" i="105" s="1"/>
  <c r="EG32" i="105" s="1"/>
  <c r="EG33" i="105" s="1"/>
  <c r="EG34" i="105" s="1"/>
  <c r="EG35" i="105" s="1"/>
  <c r="EG36" i="105" s="1"/>
  <c r="EG37" i="105" s="1"/>
  <c r="EG38" i="105" s="1"/>
  <c r="EG39" i="105" s="1"/>
  <c r="EG40" i="105" s="1"/>
  <c r="EG41" i="105" s="1"/>
  <c r="EG42" i="105" s="1"/>
  <c r="EG43" i="105" s="1"/>
  <c r="EG44" i="105" s="1"/>
  <c r="EG45" i="105" s="1"/>
  <c r="EG46" i="105" s="1"/>
  <c r="EG47" i="105" s="1"/>
  <c r="EG48" i="105" s="1"/>
  <c r="EG49" i="105" s="1"/>
  <c r="EG50" i="105" s="1"/>
  <c r="EG51" i="105" s="1"/>
  <c r="EG52" i="105" s="1"/>
  <c r="EG53" i="105" s="1"/>
  <c r="EG54" i="105" s="1"/>
  <c r="EG55" i="105" s="1"/>
  <c r="CZ62" i="105"/>
  <c r="DA65" i="105"/>
  <c r="DA82" i="105" s="1"/>
  <c r="CZ81" i="105"/>
  <c r="CZ80" i="105"/>
  <c r="CZ61" i="105"/>
  <c r="CZ66" i="105"/>
  <c r="CZ68" i="105"/>
  <c r="CZ59" i="105"/>
  <c r="CZ75" i="105"/>
  <c r="CZ79" i="105"/>
  <c r="E19" i="108" s="1"/>
  <c r="CZ71" i="105"/>
  <c r="CZ60" i="105"/>
  <c r="CZ63" i="105"/>
  <c r="CZ72" i="105"/>
  <c r="CZ70" i="105"/>
  <c r="CZ76" i="105"/>
  <c r="CZ74" i="105"/>
  <c r="CZ77" i="105"/>
  <c r="E18" i="110" s="1"/>
  <c r="CZ69" i="105"/>
  <c r="CZ73" i="105"/>
  <c r="CZ67" i="105"/>
  <c r="U72" i="105"/>
  <c r="E17" i="106"/>
  <c r="G17" i="106" s="1"/>
  <c r="E21" i="106"/>
  <c r="E14" i="106"/>
  <c r="E5" i="106"/>
  <c r="G5" i="106" s="1"/>
  <c r="I5" i="106" l="1"/>
  <c r="K5" i="106" s="1"/>
  <c r="M5" i="106" s="1"/>
  <c r="O5" i="106" s="1"/>
  <c r="Q5" i="106" s="1"/>
  <c r="S5" i="106" s="1"/>
  <c r="U5" i="106" s="1"/>
  <c r="W5" i="106" s="1"/>
  <c r="Y5" i="106" s="1"/>
  <c r="AA5" i="106" s="1"/>
  <c r="AC5" i="106" s="1"/>
  <c r="AE5" i="106" s="1"/>
  <c r="AG5" i="106" s="1"/>
  <c r="AI5" i="106" s="1"/>
  <c r="AK5" i="106" s="1"/>
  <c r="AM5" i="106" s="1"/>
  <c r="AO5" i="106" s="1"/>
  <c r="AQ5" i="106" s="1"/>
  <c r="AS5" i="106" s="1"/>
  <c r="AU5" i="106" s="1"/>
  <c r="AW5" i="106" s="1"/>
  <c r="AY5" i="106" s="1"/>
  <c r="BA5" i="106" s="1"/>
  <c r="BC5" i="106" s="1"/>
  <c r="BE5" i="106" s="1"/>
  <c r="BG5" i="106" s="1"/>
  <c r="BI5" i="106" s="1"/>
  <c r="BK5" i="106" s="1"/>
  <c r="BM5" i="106" s="1"/>
  <c r="BO5" i="106" s="1"/>
  <c r="BQ5" i="106" s="1"/>
  <c r="BS5" i="106" s="1"/>
  <c r="BU5" i="106" s="1"/>
  <c r="BW5" i="106" s="1"/>
  <c r="BY5" i="106" s="1"/>
  <c r="CA5" i="106" s="1"/>
  <c r="CC5" i="106" s="1"/>
  <c r="CE5" i="106" s="1"/>
  <c r="CG5" i="106" s="1"/>
  <c r="CI5" i="106" s="1"/>
  <c r="CK5" i="106" s="1"/>
  <c r="CM5" i="106" s="1"/>
  <c r="CO5" i="106" s="1"/>
  <c r="CQ5" i="106" s="1"/>
  <c r="CS5" i="106" s="1"/>
  <c r="CU5" i="106" s="1"/>
  <c r="CW5" i="106" s="1"/>
  <c r="CY5" i="106" s="1"/>
  <c r="DC5" i="106" s="1"/>
  <c r="DF28" i="106" s="1"/>
  <c r="G10" i="106"/>
  <c r="G14" i="106"/>
  <c r="E57" i="106"/>
  <c r="G12" i="106"/>
  <c r="E63" i="106"/>
  <c r="G21" i="106"/>
  <c r="G25" i="106"/>
  <c r="G27" i="106"/>
  <c r="G23" i="106"/>
  <c r="Y72" i="105"/>
  <c r="AA72" i="105" s="1"/>
  <c r="CZ85" i="105"/>
  <c r="DA83" i="105"/>
  <c r="CZ83" i="105" s="1"/>
  <c r="CZ84" i="105" s="1"/>
  <c r="I17" i="106"/>
  <c r="K17" i="106" s="1"/>
  <c r="M17" i="106" s="1"/>
  <c r="O17" i="106" s="1"/>
  <c r="Q17" i="106" s="1"/>
  <c r="S17" i="106" s="1"/>
  <c r="U17" i="106" s="1"/>
  <c r="W17" i="106" s="1"/>
  <c r="Y17" i="106" s="1"/>
  <c r="AA17" i="106" s="1"/>
  <c r="AC17" i="106" s="1"/>
  <c r="AE17" i="106" s="1"/>
  <c r="AG17" i="106" s="1"/>
  <c r="AI17" i="106" s="1"/>
  <c r="AK17" i="106" s="1"/>
  <c r="AM17" i="106" s="1"/>
  <c r="AO17" i="106" s="1"/>
  <c r="AQ17" i="106" s="1"/>
  <c r="AS17" i="106" s="1"/>
  <c r="AU17" i="106" s="1"/>
  <c r="AW17" i="106" s="1"/>
  <c r="AY17" i="106" s="1"/>
  <c r="BA17" i="106" s="1"/>
  <c r="BC17" i="106" s="1"/>
  <c r="BE17" i="106" s="1"/>
  <c r="BG17" i="106" s="1"/>
  <c r="BI17" i="106" s="1"/>
  <c r="BK17" i="106" s="1"/>
  <c r="BM17" i="106" s="1"/>
  <c r="BO17" i="106" s="1"/>
  <c r="BQ17" i="106" s="1"/>
  <c r="BS17" i="106" s="1"/>
  <c r="BU17" i="106" s="1"/>
  <c r="BW17" i="106" s="1"/>
  <c r="BY17" i="106" s="1"/>
  <c r="CA17" i="106" s="1"/>
  <c r="CC17" i="106" s="1"/>
  <c r="CE17" i="106" s="1"/>
  <c r="CG17" i="106" s="1"/>
  <c r="CI17" i="106" s="1"/>
  <c r="CK17" i="106" s="1"/>
  <c r="CM17" i="106" s="1"/>
  <c r="CO17" i="106" s="1"/>
  <c r="CQ17" i="106" s="1"/>
  <c r="CS17" i="106" s="1"/>
  <c r="CU17" i="106" s="1"/>
  <c r="CW17" i="106" s="1"/>
  <c r="CY17" i="106" s="1"/>
  <c r="DC17" i="106" s="1"/>
  <c r="DA84" i="105" l="1"/>
  <c r="CZ17" i="106"/>
  <c r="D63" i="106"/>
  <c r="G65" i="106"/>
  <c r="I65" i="106" s="1"/>
  <c r="K65" i="106" s="1"/>
  <c r="G67" i="106"/>
  <c r="I67" i="106" s="1"/>
  <c r="K67" i="106" s="1"/>
  <c r="G69" i="106"/>
  <c r="I69" i="106" s="1"/>
  <c r="K69" i="106" s="1"/>
  <c r="G63" i="106"/>
  <c r="I63" i="106" s="1"/>
  <c r="K63" i="106" s="1"/>
  <c r="I25" i="106"/>
  <c r="K25" i="106" s="1"/>
  <c r="M25" i="106" s="1"/>
  <c r="O25" i="106" s="1"/>
  <c r="Q25" i="106" s="1"/>
  <c r="S25" i="106" s="1"/>
  <c r="U25" i="106" s="1"/>
  <c r="W25" i="106" s="1"/>
  <c r="Y25" i="106" s="1"/>
  <c r="AA25" i="106" s="1"/>
  <c r="AC25" i="106" s="1"/>
  <c r="AE25" i="106" s="1"/>
  <c r="AG25" i="106" s="1"/>
  <c r="AI25" i="106" s="1"/>
  <c r="AK25" i="106" s="1"/>
  <c r="AM25" i="106" s="1"/>
  <c r="AO25" i="106" s="1"/>
  <c r="AQ25" i="106" s="1"/>
  <c r="AS25" i="106" s="1"/>
  <c r="AU25" i="106" s="1"/>
  <c r="AW25" i="106" s="1"/>
  <c r="AY25" i="106" s="1"/>
  <c r="BA25" i="106" s="1"/>
  <c r="BC25" i="106" s="1"/>
  <c r="BE25" i="106" s="1"/>
  <c r="BG25" i="106" s="1"/>
  <c r="BI25" i="106" s="1"/>
  <c r="BK25" i="106" s="1"/>
  <c r="BM25" i="106" s="1"/>
  <c r="BO25" i="106" s="1"/>
  <c r="BQ25" i="106" s="1"/>
  <c r="BS25" i="106" s="1"/>
  <c r="BU25" i="106" s="1"/>
  <c r="BW25" i="106" s="1"/>
  <c r="BY25" i="106" s="1"/>
  <c r="CA25" i="106" s="1"/>
  <c r="CC25" i="106" s="1"/>
  <c r="CE25" i="106" s="1"/>
  <c r="CG25" i="106" s="1"/>
  <c r="CI25" i="106" s="1"/>
  <c r="CK25" i="106" s="1"/>
  <c r="CM25" i="106" s="1"/>
  <c r="CO25" i="106" s="1"/>
  <c r="CQ25" i="106" s="1"/>
  <c r="CS25" i="106" s="1"/>
  <c r="CU25" i="106" s="1"/>
  <c r="CW25" i="106" s="1"/>
  <c r="CY25" i="106" s="1"/>
  <c r="DC25" i="106" s="1"/>
  <c r="I21" i="106"/>
  <c r="K21" i="106" s="1"/>
  <c r="M21" i="106" s="1"/>
  <c r="O21" i="106" s="1"/>
  <c r="Q21" i="106" s="1"/>
  <c r="S21" i="106" s="1"/>
  <c r="U21" i="106" s="1"/>
  <c r="W21" i="106" s="1"/>
  <c r="Y21" i="106" s="1"/>
  <c r="AA21" i="106" s="1"/>
  <c r="AC21" i="106" s="1"/>
  <c r="AE21" i="106" s="1"/>
  <c r="AG21" i="106" s="1"/>
  <c r="AI21" i="106" s="1"/>
  <c r="AK21" i="106" s="1"/>
  <c r="AM21" i="106" s="1"/>
  <c r="AO21" i="106" s="1"/>
  <c r="AQ21" i="106" s="1"/>
  <c r="AS21" i="106" s="1"/>
  <c r="AU21" i="106" s="1"/>
  <c r="AW21" i="106" s="1"/>
  <c r="AY21" i="106" s="1"/>
  <c r="BA21" i="106" s="1"/>
  <c r="BC21" i="106" s="1"/>
  <c r="BE21" i="106" s="1"/>
  <c r="BG21" i="106" s="1"/>
  <c r="BI21" i="106" s="1"/>
  <c r="BK21" i="106" s="1"/>
  <c r="BM21" i="106" s="1"/>
  <c r="BO21" i="106" s="1"/>
  <c r="BQ21" i="106" s="1"/>
  <c r="BS21" i="106" s="1"/>
  <c r="BU21" i="106" s="1"/>
  <c r="BW21" i="106" s="1"/>
  <c r="BY21" i="106" s="1"/>
  <c r="CA21" i="106" s="1"/>
  <c r="CC21" i="106" s="1"/>
  <c r="CE21" i="106" s="1"/>
  <c r="CG21" i="106" s="1"/>
  <c r="CI21" i="106" s="1"/>
  <c r="CK21" i="106" s="1"/>
  <c r="CM21" i="106" s="1"/>
  <c r="CO21" i="106" s="1"/>
  <c r="CQ21" i="106" s="1"/>
  <c r="CS21" i="106" s="1"/>
  <c r="CU21" i="106" s="1"/>
  <c r="CW21" i="106" s="1"/>
  <c r="CY21" i="106" s="1"/>
  <c r="DC21" i="106" s="1"/>
  <c r="I12" i="106"/>
  <c r="K12" i="106" s="1"/>
  <c r="M12" i="106" s="1"/>
  <c r="O12" i="106" s="1"/>
  <c r="Q12" i="106" s="1"/>
  <c r="S12" i="106" s="1"/>
  <c r="U12" i="106" s="1"/>
  <c r="W12" i="106" s="1"/>
  <c r="Y12" i="106" s="1"/>
  <c r="AA12" i="106" s="1"/>
  <c r="AC12" i="106" s="1"/>
  <c r="AE12" i="106" s="1"/>
  <c r="AG12" i="106" s="1"/>
  <c r="AI12" i="106" s="1"/>
  <c r="AK12" i="106" s="1"/>
  <c r="AM12" i="106" s="1"/>
  <c r="AO12" i="106" s="1"/>
  <c r="AQ12" i="106" s="1"/>
  <c r="AS12" i="106" s="1"/>
  <c r="AU12" i="106" s="1"/>
  <c r="AW12" i="106" s="1"/>
  <c r="AY12" i="106" s="1"/>
  <c r="BA12" i="106" s="1"/>
  <c r="BC12" i="106" s="1"/>
  <c r="BE12" i="106" s="1"/>
  <c r="BG12" i="106" s="1"/>
  <c r="BI12" i="106" s="1"/>
  <c r="BK12" i="106" s="1"/>
  <c r="BM12" i="106" s="1"/>
  <c r="BO12" i="106" s="1"/>
  <c r="BQ12" i="106" s="1"/>
  <c r="BS12" i="106" s="1"/>
  <c r="BU12" i="106" s="1"/>
  <c r="BW12" i="106" s="1"/>
  <c r="BY12" i="106" s="1"/>
  <c r="CA12" i="106" s="1"/>
  <c r="CC12" i="106" s="1"/>
  <c r="CE12" i="106" s="1"/>
  <c r="CG12" i="106" s="1"/>
  <c r="CI12" i="106" s="1"/>
  <c r="CK12" i="106" s="1"/>
  <c r="CM12" i="106" s="1"/>
  <c r="CO12" i="106" s="1"/>
  <c r="CQ12" i="106" s="1"/>
  <c r="CS12" i="106" s="1"/>
  <c r="CU12" i="106" s="1"/>
  <c r="CW12" i="106" s="1"/>
  <c r="CY12" i="106" s="1"/>
  <c r="DC12" i="106" s="1"/>
  <c r="G57" i="106"/>
  <c r="I57" i="106" s="1"/>
  <c r="K57" i="106" s="1"/>
  <c r="G55" i="106"/>
  <c r="I55" i="106" s="1"/>
  <c r="K55" i="106" s="1"/>
  <c r="D57" i="106"/>
  <c r="G53" i="106"/>
  <c r="AA78" i="105"/>
  <c r="AA76" i="105"/>
  <c r="CZ87" i="105"/>
  <c r="I14" i="106"/>
  <c r="K14" i="106" s="1"/>
  <c r="M14" i="106" s="1"/>
  <c r="O14" i="106" s="1"/>
  <c r="Q14" i="106" s="1"/>
  <c r="S14" i="106" s="1"/>
  <c r="U14" i="106" s="1"/>
  <c r="W14" i="106" s="1"/>
  <c r="Y14" i="106" s="1"/>
  <c r="AA14" i="106" s="1"/>
  <c r="AC14" i="106" s="1"/>
  <c r="AE14" i="106" s="1"/>
  <c r="AG14" i="106" s="1"/>
  <c r="AI14" i="106" s="1"/>
  <c r="AK14" i="106" s="1"/>
  <c r="AM14" i="106" s="1"/>
  <c r="AO14" i="106" s="1"/>
  <c r="AQ14" i="106" s="1"/>
  <c r="AS14" i="106" s="1"/>
  <c r="AU14" i="106" s="1"/>
  <c r="AW14" i="106" s="1"/>
  <c r="AY14" i="106" s="1"/>
  <c r="BA14" i="106" s="1"/>
  <c r="BC14" i="106" s="1"/>
  <c r="BE14" i="106" s="1"/>
  <c r="BG14" i="106" s="1"/>
  <c r="BI14" i="106" s="1"/>
  <c r="BK14" i="106" s="1"/>
  <c r="BM14" i="106" s="1"/>
  <c r="BO14" i="106" s="1"/>
  <c r="BQ14" i="106" s="1"/>
  <c r="BS14" i="106" s="1"/>
  <c r="BU14" i="106" s="1"/>
  <c r="BW14" i="106" s="1"/>
  <c r="BY14" i="106" s="1"/>
  <c r="CA14" i="106" s="1"/>
  <c r="CC14" i="106" s="1"/>
  <c r="CE14" i="106" s="1"/>
  <c r="CG14" i="106" s="1"/>
  <c r="CI14" i="106" s="1"/>
  <c r="CK14" i="106" s="1"/>
  <c r="CM14" i="106" s="1"/>
  <c r="CO14" i="106" s="1"/>
  <c r="CQ14" i="106" s="1"/>
  <c r="CS14" i="106" s="1"/>
  <c r="CU14" i="106" s="1"/>
  <c r="CW14" i="106" s="1"/>
  <c r="CY14" i="106" s="1"/>
  <c r="DC14" i="106" s="1"/>
  <c r="I23" i="106"/>
  <c r="K23" i="106" s="1"/>
  <c r="M23" i="106" s="1"/>
  <c r="O23" i="106" s="1"/>
  <c r="Q23" i="106" s="1"/>
  <c r="S23" i="106" s="1"/>
  <c r="U23" i="106" s="1"/>
  <c r="W23" i="106" s="1"/>
  <c r="Y23" i="106" s="1"/>
  <c r="AA23" i="106" s="1"/>
  <c r="AC23" i="106" s="1"/>
  <c r="AE23" i="106" s="1"/>
  <c r="AG23" i="106" s="1"/>
  <c r="AI23" i="106" s="1"/>
  <c r="AK23" i="106" s="1"/>
  <c r="AM23" i="106" s="1"/>
  <c r="AO23" i="106" s="1"/>
  <c r="AQ23" i="106" s="1"/>
  <c r="AS23" i="106" s="1"/>
  <c r="AU23" i="106" s="1"/>
  <c r="AW23" i="106" s="1"/>
  <c r="AY23" i="106" s="1"/>
  <c r="BA23" i="106" s="1"/>
  <c r="BC23" i="106" s="1"/>
  <c r="BE23" i="106" s="1"/>
  <c r="BG23" i="106" s="1"/>
  <c r="BI23" i="106" s="1"/>
  <c r="BK23" i="106" s="1"/>
  <c r="BM23" i="106" s="1"/>
  <c r="BO23" i="106" s="1"/>
  <c r="BQ23" i="106" s="1"/>
  <c r="BS23" i="106" s="1"/>
  <c r="BU23" i="106" s="1"/>
  <c r="BW23" i="106" s="1"/>
  <c r="BY23" i="106" s="1"/>
  <c r="CA23" i="106" s="1"/>
  <c r="CC23" i="106" s="1"/>
  <c r="CE23" i="106" s="1"/>
  <c r="CG23" i="106" s="1"/>
  <c r="CI23" i="106" s="1"/>
  <c r="CK23" i="106" s="1"/>
  <c r="CM23" i="106" s="1"/>
  <c r="CO23" i="106" s="1"/>
  <c r="CQ23" i="106" s="1"/>
  <c r="CS23" i="106" s="1"/>
  <c r="CU23" i="106" s="1"/>
  <c r="CW23" i="106" s="1"/>
  <c r="CY23" i="106" s="1"/>
  <c r="DC23" i="106" s="1"/>
  <c r="G30" i="106"/>
  <c r="I10" i="106"/>
  <c r="I27" i="106"/>
  <c r="K27" i="106" s="1"/>
  <c r="M27" i="106" s="1"/>
  <c r="O27" i="106" s="1"/>
  <c r="Q27" i="106" s="1"/>
  <c r="S27" i="106" s="1"/>
  <c r="U27" i="106" s="1"/>
  <c r="W27" i="106" s="1"/>
  <c r="Y27" i="106" s="1"/>
  <c r="AA27" i="106" s="1"/>
  <c r="AC27" i="106" s="1"/>
  <c r="AE27" i="106" s="1"/>
  <c r="AG27" i="106" s="1"/>
  <c r="AI27" i="106" s="1"/>
  <c r="AK27" i="106" s="1"/>
  <c r="AM27" i="106" s="1"/>
  <c r="AO27" i="106" s="1"/>
  <c r="AQ27" i="106" s="1"/>
  <c r="AS27" i="106" s="1"/>
  <c r="AU27" i="106" s="1"/>
  <c r="AW27" i="106" s="1"/>
  <c r="AY27" i="106" s="1"/>
  <c r="BA27" i="106" s="1"/>
  <c r="BC27" i="106" s="1"/>
  <c r="BE27" i="106" s="1"/>
  <c r="BG27" i="106" s="1"/>
  <c r="BI27" i="106" s="1"/>
  <c r="BK27" i="106" s="1"/>
  <c r="BM27" i="106" s="1"/>
  <c r="BO27" i="106" s="1"/>
  <c r="BQ27" i="106" s="1"/>
  <c r="BS27" i="106" s="1"/>
  <c r="BU27" i="106" s="1"/>
  <c r="BW27" i="106" s="1"/>
  <c r="BY27" i="106" s="1"/>
  <c r="CA27" i="106" s="1"/>
  <c r="CC27" i="106" s="1"/>
  <c r="CE27" i="106" s="1"/>
  <c r="CG27" i="106" s="1"/>
  <c r="CI27" i="106" s="1"/>
  <c r="CK27" i="106" s="1"/>
  <c r="CM27" i="106" s="1"/>
  <c r="CO27" i="106" s="1"/>
  <c r="CQ27" i="106" s="1"/>
  <c r="CS27" i="106" s="1"/>
  <c r="CU27" i="106" s="1"/>
  <c r="CW27" i="106" s="1"/>
  <c r="CY27" i="106" s="1"/>
  <c r="DC27" i="106" s="1"/>
  <c r="CZ5" i="106"/>
  <c r="CZ14" i="106" l="1"/>
  <c r="CZ12" i="106"/>
  <c r="I30" i="106"/>
  <c r="K10" i="106"/>
  <c r="M10" i="106" s="1"/>
  <c r="CZ27" i="106"/>
  <c r="I53" i="106"/>
  <c r="G72" i="106"/>
  <c r="CZ25" i="106"/>
  <c r="CZ23" i="106"/>
  <c r="D60" i="106"/>
  <c r="E60" i="106" s="1"/>
  <c r="G60" i="106" s="1"/>
  <c r="I60" i="106" s="1"/>
  <c r="K60" i="106" s="1"/>
  <c r="CZ21" i="106"/>
  <c r="D66" i="106" l="1"/>
  <c r="O10" i="106"/>
  <c r="Q10" i="106" s="1"/>
  <c r="M30" i="106"/>
  <c r="I72" i="106"/>
  <c r="K53" i="106"/>
  <c r="K72" i="106" s="1"/>
  <c r="S10" i="106" l="1"/>
  <c r="U10" i="106" s="1"/>
  <c r="Q30" i="106"/>
  <c r="U30" i="106" l="1"/>
  <c r="W10" i="106"/>
  <c r="Y10" i="106" s="1"/>
  <c r="Y30" i="106" l="1"/>
  <c r="AA10" i="106"/>
  <c r="AC10" i="106" s="1"/>
  <c r="AC30" i="106" l="1"/>
  <c r="AE10" i="106"/>
  <c r="AG10" i="106" s="1"/>
  <c r="AI10" i="106" l="1"/>
  <c r="AK10" i="106" s="1"/>
  <c r="AG30" i="106"/>
  <c r="AM10" i="106" l="1"/>
  <c r="AO10" i="106" s="1"/>
  <c r="AK30" i="106"/>
  <c r="AO30" i="106" l="1"/>
  <c r="AQ10" i="106"/>
  <c r="AS10" i="106" s="1"/>
  <c r="AS30" i="106" l="1"/>
  <c r="AU10" i="106"/>
  <c r="AW10" i="106" s="1"/>
  <c r="AW30" i="106" l="1"/>
  <c r="AY10" i="106"/>
  <c r="BA10" i="106" s="1"/>
  <c r="BC10" i="106" l="1"/>
  <c r="BE10" i="106" s="1"/>
  <c r="BA30" i="106"/>
  <c r="BE30" i="106" l="1"/>
  <c r="BG10" i="106"/>
  <c r="BI10" i="106" s="1"/>
  <c r="BK10" i="106" l="1"/>
  <c r="BM10" i="106" s="1"/>
  <c r="BI30" i="106"/>
  <c r="BO10" i="106" l="1"/>
  <c r="BQ10" i="106" s="1"/>
  <c r="BM30" i="106"/>
  <c r="BQ30" i="106" l="1"/>
  <c r="BS10" i="106"/>
  <c r="BU10" i="106" s="1"/>
  <c r="BU30" i="106" l="1"/>
  <c r="BW10" i="106"/>
  <c r="BY10" i="106" s="1"/>
  <c r="BY30" i="106" l="1"/>
  <c r="CA10" i="106"/>
  <c r="CC10" i="106" s="1"/>
  <c r="CC30" i="106" l="1"/>
  <c r="CE10" i="106"/>
  <c r="CG10" i="106" s="1"/>
  <c r="CG30" i="106" l="1"/>
  <c r="CI10" i="106"/>
  <c r="CK10" i="106" s="1"/>
  <c r="CK30" i="106" l="1"/>
  <c r="CM10" i="106"/>
  <c r="CO10" i="106" s="1"/>
  <c r="CO30" i="106" l="1"/>
  <c r="CQ10" i="106"/>
  <c r="CS10" i="106" s="1"/>
  <c r="CS30" i="106" l="1"/>
  <c r="CU10" i="106"/>
  <c r="CW10" i="106" s="1"/>
  <c r="CZ10" i="106" s="1"/>
  <c r="CZ29" i="106" s="1"/>
  <c r="CZ33" i="106" s="1"/>
  <c r="CZ34" i="106" s="1"/>
  <c r="L72" i="106" l="1"/>
  <c r="M72" i="106" s="1"/>
  <c r="DC31" i="106"/>
  <c r="CZ48" i="106"/>
  <c r="DC32" i="106"/>
  <c r="DE32" i="106" s="1"/>
  <c r="CY10" i="106"/>
  <c r="DC10" i="106" s="1"/>
  <c r="DC29" i="106" s="1"/>
  <c r="DE29" i="106" s="1"/>
  <c r="DF29" i="106" s="1"/>
  <c r="CW30" i="106"/>
  <c r="CZ30" i="106" s="1"/>
  <c r="CZ46" i="107" l="1"/>
  <c r="CZ47" i="107" s="1"/>
  <c r="CZ46" i="112"/>
  <c r="CZ47" i="112" s="1"/>
  <c r="S72" i="106"/>
  <c r="Q72" i="106"/>
  <c r="DB32" i="107"/>
  <c r="E8" i="107"/>
  <c r="DE48" i="106"/>
  <c r="DE50" i="106" s="1"/>
  <c r="DE57" i="106" s="1"/>
  <c r="DF57" i="106" s="1"/>
  <c r="DF58" i="106" s="1"/>
  <c r="DE56" i="106" s="1"/>
  <c r="DE60" i="106"/>
  <c r="CZ56" i="106"/>
  <c r="CZ49" i="106"/>
  <c r="DB39" i="106" s="1"/>
  <c r="DB32" i="112" l="1"/>
  <c r="E8" i="112"/>
  <c r="DE61" i="106"/>
  <c r="DH48" i="106"/>
  <c r="CZ80" i="106"/>
  <c r="CZ61" i="106"/>
  <c r="CZ70" i="106"/>
  <c r="CZ77" i="106"/>
  <c r="E19" i="110" s="1"/>
  <c r="CZ59" i="106"/>
  <c r="CZ76" i="106"/>
  <c r="DA65" i="106"/>
  <c r="DA82" i="106" s="1"/>
  <c r="CZ60" i="106"/>
  <c r="CZ63" i="106"/>
  <c r="CZ72" i="106"/>
  <c r="CZ81" i="106"/>
  <c r="CZ73" i="106"/>
  <c r="CZ71" i="106"/>
  <c r="CZ69" i="106"/>
  <c r="CZ66" i="106"/>
  <c r="CZ68" i="106"/>
  <c r="CZ62" i="106"/>
  <c r="CZ79" i="106"/>
  <c r="E20" i="108" s="1"/>
  <c r="CZ58" i="106"/>
  <c r="EG25" i="106" s="1"/>
  <c r="EG26" i="106" s="1"/>
  <c r="EG27" i="106" s="1"/>
  <c r="EG28" i="106" s="1"/>
  <c r="EG29" i="106" s="1"/>
  <c r="EG30" i="106" s="1"/>
  <c r="EG31" i="106" s="1"/>
  <c r="EG32" i="106" s="1"/>
  <c r="EG33" i="106" s="1"/>
  <c r="EG34" i="106" s="1"/>
  <c r="EG35" i="106" s="1"/>
  <c r="EG36" i="106" s="1"/>
  <c r="EG37" i="106" s="1"/>
  <c r="EG38" i="106" s="1"/>
  <c r="EG39" i="106" s="1"/>
  <c r="EG40" i="106" s="1"/>
  <c r="EG41" i="106" s="1"/>
  <c r="EG42" i="106" s="1"/>
  <c r="EG43" i="106" s="1"/>
  <c r="EG44" i="106" s="1"/>
  <c r="EG45" i="106" s="1"/>
  <c r="EG46" i="106" s="1"/>
  <c r="EG47" i="106" s="1"/>
  <c r="EG48" i="106" s="1"/>
  <c r="EG49" i="106" s="1"/>
  <c r="EG50" i="106" s="1"/>
  <c r="EG51" i="106" s="1"/>
  <c r="EG52" i="106" s="1"/>
  <c r="EG53" i="106" s="1"/>
  <c r="EG54" i="106" s="1"/>
  <c r="EG55" i="106" s="1"/>
  <c r="CZ74" i="106"/>
  <c r="CZ75" i="106"/>
  <c r="CZ78" i="106"/>
  <c r="E19" i="109" s="1"/>
  <c r="CZ67" i="106"/>
  <c r="CZ32" i="107"/>
  <c r="E51" i="107"/>
  <c r="E11" i="107"/>
  <c r="U72" i="106"/>
  <c r="CZ32" i="112" l="1"/>
  <c r="E51" i="112"/>
  <c r="E11" i="112"/>
  <c r="Y72" i="106"/>
  <c r="AA72" i="106" s="1"/>
  <c r="CZ85" i="106"/>
  <c r="E21" i="107"/>
  <c r="E17" i="107"/>
  <c r="G17" i="107" s="1"/>
  <c r="E14" i="107"/>
  <c r="E5" i="107"/>
  <c r="G5" i="107" s="1"/>
  <c r="DA83" i="106"/>
  <c r="CZ83" i="106" s="1"/>
  <c r="CZ84" i="106" s="1"/>
  <c r="E17" i="112" l="1"/>
  <c r="G17" i="112" s="1"/>
  <c r="E21" i="112"/>
  <c r="E14" i="112"/>
  <c r="E5" i="112"/>
  <c r="G5" i="112" s="1"/>
  <c r="DA84" i="106"/>
  <c r="I5" i="107"/>
  <c r="K5" i="107" s="1"/>
  <c r="M5" i="107" s="1"/>
  <c r="O5" i="107" s="1"/>
  <c r="Q5" i="107" s="1"/>
  <c r="S5" i="107" s="1"/>
  <c r="U5" i="107" s="1"/>
  <c r="W5" i="107" s="1"/>
  <c r="Y5" i="107" s="1"/>
  <c r="AA5" i="107" s="1"/>
  <c r="AC5" i="107" s="1"/>
  <c r="AE5" i="107" s="1"/>
  <c r="AG5" i="107" s="1"/>
  <c r="AI5" i="107" s="1"/>
  <c r="AK5" i="107" s="1"/>
  <c r="AM5" i="107" s="1"/>
  <c r="AO5" i="107" s="1"/>
  <c r="AQ5" i="107" s="1"/>
  <c r="AS5" i="107" s="1"/>
  <c r="AU5" i="107" s="1"/>
  <c r="AW5" i="107" s="1"/>
  <c r="AY5" i="107" s="1"/>
  <c r="BA5" i="107" s="1"/>
  <c r="BC5" i="107" s="1"/>
  <c r="BE5" i="107" s="1"/>
  <c r="BG5" i="107" s="1"/>
  <c r="BI5" i="107" s="1"/>
  <c r="BK5" i="107" s="1"/>
  <c r="BM5" i="107" s="1"/>
  <c r="BO5" i="107" s="1"/>
  <c r="BQ5" i="107" s="1"/>
  <c r="BS5" i="107" s="1"/>
  <c r="BU5" i="107" s="1"/>
  <c r="BW5" i="107" s="1"/>
  <c r="BY5" i="107" s="1"/>
  <c r="CA5" i="107" s="1"/>
  <c r="CC5" i="107" s="1"/>
  <c r="CE5" i="107" s="1"/>
  <c r="CG5" i="107" s="1"/>
  <c r="CI5" i="107" s="1"/>
  <c r="CK5" i="107" s="1"/>
  <c r="CM5" i="107" s="1"/>
  <c r="CO5" i="107" s="1"/>
  <c r="CQ5" i="107" s="1"/>
  <c r="CS5" i="107" s="1"/>
  <c r="CU5" i="107" s="1"/>
  <c r="CW5" i="107" s="1"/>
  <c r="CY5" i="107" s="1"/>
  <c r="DC5" i="107" s="1"/>
  <c r="DF28" i="107" s="1"/>
  <c r="E57" i="107"/>
  <c r="G14" i="107"/>
  <c r="G10" i="107"/>
  <c r="G12" i="107"/>
  <c r="I17" i="107"/>
  <c r="K17" i="107" s="1"/>
  <c r="M17" i="107" s="1"/>
  <c r="O17" i="107" s="1"/>
  <c r="Q17" i="107" s="1"/>
  <c r="S17" i="107" s="1"/>
  <c r="U17" i="107" s="1"/>
  <c r="W17" i="107" s="1"/>
  <c r="Y17" i="107" s="1"/>
  <c r="AA17" i="107" s="1"/>
  <c r="AC17" i="107" s="1"/>
  <c r="AE17" i="107" s="1"/>
  <c r="AG17" i="107" s="1"/>
  <c r="AI17" i="107" s="1"/>
  <c r="AK17" i="107" s="1"/>
  <c r="AM17" i="107" s="1"/>
  <c r="AO17" i="107" s="1"/>
  <c r="AQ17" i="107" s="1"/>
  <c r="AS17" i="107" s="1"/>
  <c r="AU17" i="107" s="1"/>
  <c r="AW17" i="107" s="1"/>
  <c r="AY17" i="107" s="1"/>
  <c r="BA17" i="107" s="1"/>
  <c r="BC17" i="107" s="1"/>
  <c r="BE17" i="107" s="1"/>
  <c r="BG17" i="107" s="1"/>
  <c r="BI17" i="107" s="1"/>
  <c r="BK17" i="107" s="1"/>
  <c r="BM17" i="107" s="1"/>
  <c r="BO17" i="107" s="1"/>
  <c r="BQ17" i="107" s="1"/>
  <c r="BS17" i="107" s="1"/>
  <c r="BU17" i="107" s="1"/>
  <c r="BW17" i="107" s="1"/>
  <c r="BY17" i="107" s="1"/>
  <c r="CA17" i="107" s="1"/>
  <c r="CC17" i="107" s="1"/>
  <c r="CE17" i="107" s="1"/>
  <c r="CG17" i="107" s="1"/>
  <c r="CI17" i="107" s="1"/>
  <c r="CK17" i="107" s="1"/>
  <c r="CM17" i="107" s="1"/>
  <c r="CO17" i="107" s="1"/>
  <c r="CQ17" i="107" s="1"/>
  <c r="CS17" i="107" s="1"/>
  <c r="CU17" i="107" s="1"/>
  <c r="CW17" i="107" s="1"/>
  <c r="CY17" i="107" s="1"/>
  <c r="DC17" i="107" s="1"/>
  <c r="E63" i="107"/>
  <c r="G25" i="107"/>
  <c r="G21" i="107"/>
  <c r="G27" i="107"/>
  <c r="G23" i="107"/>
  <c r="AA76" i="106"/>
  <c r="AA78" i="106"/>
  <c r="CZ87" i="106"/>
  <c r="G14" i="112" l="1"/>
  <c r="E57" i="112"/>
  <c r="G12" i="112"/>
  <c r="G10" i="112"/>
  <c r="I5" i="112"/>
  <c r="K5" i="112" s="1"/>
  <c r="M5" i="112" s="1"/>
  <c r="O5" i="112" s="1"/>
  <c r="Q5" i="112" s="1"/>
  <c r="S5" i="112" s="1"/>
  <c r="U5" i="112" s="1"/>
  <c r="W5" i="112" s="1"/>
  <c r="Y5" i="112" s="1"/>
  <c r="AA5" i="112" s="1"/>
  <c r="AC5" i="112" s="1"/>
  <c r="AE5" i="112" s="1"/>
  <c r="AG5" i="112" s="1"/>
  <c r="AI5" i="112" s="1"/>
  <c r="AK5" i="112" s="1"/>
  <c r="AM5" i="112" s="1"/>
  <c r="AO5" i="112" s="1"/>
  <c r="AQ5" i="112" s="1"/>
  <c r="AS5" i="112" s="1"/>
  <c r="AU5" i="112" s="1"/>
  <c r="AW5" i="112" s="1"/>
  <c r="AY5" i="112" s="1"/>
  <c r="BA5" i="112" s="1"/>
  <c r="BC5" i="112" s="1"/>
  <c r="BE5" i="112" s="1"/>
  <c r="BG5" i="112" s="1"/>
  <c r="BI5" i="112" s="1"/>
  <c r="BK5" i="112" s="1"/>
  <c r="BM5" i="112" s="1"/>
  <c r="BO5" i="112" s="1"/>
  <c r="BQ5" i="112" s="1"/>
  <c r="BS5" i="112" s="1"/>
  <c r="BU5" i="112" s="1"/>
  <c r="BW5" i="112" s="1"/>
  <c r="BY5" i="112" s="1"/>
  <c r="CA5" i="112" s="1"/>
  <c r="CC5" i="112" s="1"/>
  <c r="CE5" i="112" s="1"/>
  <c r="CG5" i="112" s="1"/>
  <c r="CI5" i="112" s="1"/>
  <c r="CK5" i="112" s="1"/>
  <c r="CM5" i="112" s="1"/>
  <c r="CO5" i="112" s="1"/>
  <c r="CQ5" i="112" s="1"/>
  <c r="CS5" i="112" s="1"/>
  <c r="CU5" i="112" s="1"/>
  <c r="CW5" i="112" s="1"/>
  <c r="CY5" i="112" s="1"/>
  <c r="DC5" i="112" s="1"/>
  <c r="DF28" i="112" s="1"/>
  <c r="G21" i="112"/>
  <c r="G27" i="112"/>
  <c r="G25" i="112"/>
  <c r="E63" i="112"/>
  <c r="G23" i="112"/>
  <c r="I17" i="112"/>
  <c r="K17" i="112" s="1"/>
  <c r="M17" i="112" s="1"/>
  <c r="O17" i="112" s="1"/>
  <c r="Q17" i="112" s="1"/>
  <c r="S17" i="112" s="1"/>
  <c r="U17" i="112" s="1"/>
  <c r="W17" i="112" s="1"/>
  <c r="Y17" i="112" s="1"/>
  <c r="AA17" i="112" s="1"/>
  <c r="AC17" i="112" s="1"/>
  <c r="AE17" i="112" s="1"/>
  <c r="AG17" i="112" s="1"/>
  <c r="AI17" i="112" s="1"/>
  <c r="AK17" i="112" s="1"/>
  <c r="AM17" i="112" s="1"/>
  <c r="AO17" i="112" s="1"/>
  <c r="AQ17" i="112" s="1"/>
  <c r="AS17" i="112" s="1"/>
  <c r="AU17" i="112" s="1"/>
  <c r="AW17" i="112" s="1"/>
  <c r="AY17" i="112" s="1"/>
  <c r="BA17" i="112" s="1"/>
  <c r="BC17" i="112" s="1"/>
  <c r="BE17" i="112" s="1"/>
  <c r="BG17" i="112" s="1"/>
  <c r="BI17" i="112" s="1"/>
  <c r="BK17" i="112" s="1"/>
  <c r="BM17" i="112" s="1"/>
  <c r="BO17" i="112" s="1"/>
  <c r="BQ17" i="112" s="1"/>
  <c r="BS17" i="112" s="1"/>
  <c r="BU17" i="112" s="1"/>
  <c r="BW17" i="112" s="1"/>
  <c r="BY17" i="112" s="1"/>
  <c r="CA17" i="112" s="1"/>
  <c r="CC17" i="112" s="1"/>
  <c r="CE17" i="112" s="1"/>
  <c r="CG17" i="112" s="1"/>
  <c r="CI17" i="112" s="1"/>
  <c r="CK17" i="112" s="1"/>
  <c r="CM17" i="112" s="1"/>
  <c r="CO17" i="112" s="1"/>
  <c r="CQ17" i="112" s="1"/>
  <c r="CS17" i="112" s="1"/>
  <c r="CU17" i="112" s="1"/>
  <c r="CW17" i="112" s="1"/>
  <c r="CY17" i="112" s="1"/>
  <c r="DC17" i="112" s="1"/>
  <c r="I23" i="107"/>
  <c r="K23" i="107" s="1"/>
  <c r="M23" i="107" s="1"/>
  <c r="O23" i="107" s="1"/>
  <c r="Q23" i="107" s="1"/>
  <c r="S23" i="107" s="1"/>
  <c r="U23" i="107" s="1"/>
  <c r="W23" i="107" s="1"/>
  <c r="Y23" i="107" s="1"/>
  <c r="AA23" i="107" s="1"/>
  <c r="AC23" i="107" s="1"/>
  <c r="AE23" i="107" s="1"/>
  <c r="AG23" i="107" s="1"/>
  <c r="AI23" i="107" s="1"/>
  <c r="AK23" i="107" s="1"/>
  <c r="AM23" i="107" s="1"/>
  <c r="AO23" i="107" s="1"/>
  <c r="AQ23" i="107" s="1"/>
  <c r="AS23" i="107" s="1"/>
  <c r="AU23" i="107" s="1"/>
  <c r="AW23" i="107" s="1"/>
  <c r="AY23" i="107" s="1"/>
  <c r="BA23" i="107" s="1"/>
  <c r="BC23" i="107" s="1"/>
  <c r="BE23" i="107" s="1"/>
  <c r="BG23" i="107" s="1"/>
  <c r="BI23" i="107" s="1"/>
  <c r="BK23" i="107" s="1"/>
  <c r="BM23" i="107" s="1"/>
  <c r="BO23" i="107" s="1"/>
  <c r="BQ23" i="107" s="1"/>
  <c r="BS23" i="107" s="1"/>
  <c r="BU23" i="107" s="1"/>
  <c r="BW23" i="107" s="1"/>
  <c r="BY23" i="107" s="1"/>
  <c r="CA23" i="107" s="1"/>
  <c r="CC23" i="107" s="1"/>
  <c r="CE23" i="107" s="1"/>
  <c r="CG23" i="107" s="1"/>
  <c r="CI23" i="107" s="1"/>
  <c r="CK23" i="107" s="1"/>
  <c r="CM23" i="107" s="1"/>
  <c r="CO23" i="107" s="1"/>
  <c r="CQ23" i="107" s="1"/>
  <c r="CS23" i="107" s="1"/>
  <c r="CU23" i="107" s="1"/>
  <c r="CW23" i="107" s="1"/>
  <c r="CY23" i="107" s="1"/>
  <c r="DC23" i="107" s="1"/>
  <c r="I27" i="107"/>
  <c r="K27" i="107" s="1"/>
  <c r="M27" i="107" s="1"/>
  <c r="O27" i="107" s="1"/>
  <c r="Q27" i="107" s="1"/>
  <c r="S27" i="107" s="1"/>
  <c r="U27" i="107" s="1"/>
  <c r="W27" i="107" s="1"/>
  <c r="Y27" i="107" s="1"/>
  <c r="AA27" i="107" s="1"/>
  <c r="AC27" i="107" s="1"/>
  <c r="AE27" i="107" s="1"/>
  <c r="AG27" i="107" s="1"/>
  <c r="AI27" i="107" s="1"/>
  <c r="AK27" i="107" s="1"/>
  <c r="AM27" i="107" s="1"/>
  <c r="AO27" i="107" s="1"/>
  <c r="AQ27" i="107" s="1"/>
  <c r="AS27" i="107" s="1"/>
  <c r="AU27" i="107" s="1"/>
  <c r="AW27" i="107" s="1"/>
  <c r="AY27" i="107" s="1"/>
  <c r="BA27" i="107" s="1"/>
  <c r="BC27" i="107" s="1"/>
  <c r="BE27" i="107" s="1"/>
  <c r="BG27" i="107" s="1"/>
  <c r="BI27" i="107" s="1"/>
  <c r="BK27" i="107" s="1"/>
  <c r="BM27" i="107" s="1"/>
  <c r="BO27" i="107" s="1"/>
  <c r="BQ27" i="107" s="1"/>
  <c r="BS27" i="107" s="1"/>
  <c r="BU27" i="107" s="1"/>
  <c r="BW27" i="107" s="1"/>
  <c r="BY27" i="107" s="1"/>
  <c r="CA27" i="107" s="1"/>
  <c r="CC27" i="107" s="1"/>
  <c r="CE27" i="107" s="1"/>
  <c r="CG27" i="107" s="1"/>
  <c r="CI27" i="107" s="1"/>
  <c r="CK27" i="107" s="1"/>
  <c r="CM27" i="107" s="1"/>
  <c r="CO27" i="107" s="1"/>
  <c r="CQ27" i="107" s="1"/>
  <c r="CS27" i="107" s="1"/>
  <c r="CU27" i="107" s="1"/>
  <c r="CW27" i="107" s="1"/>
  <c r="CY27" i="107" s="1"/>
  <c r="DC27" i="107" s="1"/>
  <c r="I21" i="107"/>
  <c r="K21" i="107" s="1"/>
  <c r="M21" i="107" s="1"/>
  <c r="O21" i="107" s="1"/>
  <c r="Q21" i="107" s="1"/>
  <c r="S21" i="107" s="1"/>
  <c r="U21" i="107" s="1"/>
  <c r="W21" i="107" s="1"/>
  <c r="Y21" i="107" s="1"/>
  <c r="AA21" i="107" s="1"/>
  <c r="AC21" i="107" s="1"/>
  <c r="AE21" i="107" s="1"/>
  <c r="AG21" i="107" s="1"/>
  <c r="AI21" i="107" s="1"/>
  <c r="AK21" i="107" s="1"/>
  <c r="AM21" i="107" s="1"/>
  <c r="AO21" i="107" s="1"/>
  <c r="AQ21" i="107" s="1"/>
  <c r="AS21" i="107" s="1"/>
  <c r="AU21" i="107" s="1"/>
  <c r="AW21" i="107" s="1"/>
  <c r="AY21" i="107" s="1"/>
  <c r="BA21" i="107" s="1"/>
  <c r="BC21" i="107" s="1"/>
  <c r="BE21" i="107" s="1"/>
  <c r="BG21" i="107" s="1"/>
  <c r="BI21" i="107" s="1"/>
  <c r="BK21" i="107" s="1"/>
  <c r="BM21" i="107" s="1"/>
  <c r="BO21" i="107" s="1"/>
  <c r="BQ21" i="107" s="1"/>
  <c r="BS21" i="107" s="1"/>
  <c r="BU21" i="107" s="1"/>
  <c r="BW21" i="107" s="1"/>
  <c r="BY21" i="107" s="1"/>
  <c r="CA21" i="107" s="1"/>
  <c r="CC21" i="107" s="1"/>
  <c r="CE21" i="107" s="1"/>
  <c r="CG21" i="107" s="1"/>
  <c r="CI21" i="107" s="1"/>
  <c r="CK21" i="107" s="1"/>
  <c r="CM21" i="107" s="1"/>
  <c r="CO21" i="107" s="1"/>
  <c r="CQ21" i="107" s="1"/>
  <c r="CS21" i="107" s="1"/>
  <c r="CU21" i="107" s="1"/>
  <c r="CW21" i="107" s="1"/>
  <c r="CY21" i="107" s="1"/>
  <c r="DC21" i="107" s="1"/>
  <c r="D57" i="107"/>
  <c r="G53" i="107"/>
  <c r="G57" i="107"/>
  <c r="I57" i="107" s="1"/>
  <c r="K57" i="107" s="1"/>
  <c r="G55" i="107"/>
  <c r="I55" i="107" s="1"/>
  <c r="K55" i="107" s="1"/>
  <c r="I25" i="107"/>
  <c r="K25" i="107" s="1"/>
  <c r="M25" i="107" s="1"/>
  <c r="O25" i="107" s="1"/>
  <c r="Q25" i="107" s="1"/>
  <c r="S25" i="107" s="1"/>
  <c r="U25" i="107" s="1"/>
  <c r="W25" i="107" s="1"/>
  <c r="Y25" i="107" s="1"/>
  <c r="AA25" i="107" s="1"/>
  <c r="AC25" i="107" s="1"/>
  <c r="AE25" i="107" s="1"/>
  <c r="AG25" i="107" s="1"/>
  <c r="AI25" i="107" s="1"/>
  <c r="AK25" i="107" s="1"/>
  <c r="AM25" i="107" s="1"/>
  <c r="AO25" i="107" s="1"/>
  <c r="AQ25" i="107" s="1"/>
  <c r="AS25" i="107" s="1"/>
  <c r="AU25" i="107" s="1"/>
  <c r="AW25" i="107" s="1"/>
  <c r="AY25" i="107" s="1"/>
  <c r="BA25" i="107" s="1"/>
  <c r="BC25" i="107" s="1"/>
  <c r="BE25" i="107" s="1"/>
  <c r="BG25" i="107" s="1"/>
  <c r="BI25" i="107" s="1"/>
  <c r="BK25" i="107" s="1"/>
  <c r="BM25" i="107" s="1"/>
  <c r="BO25" i="107" s="1"/>
  <c r="BQ25" i="107" s="1"/>
  <c r="BS25" i="107" s="1"/>
  <c r="BU25" i="107" s="1"/>
  <c r="BW25" i="107" s="1"/>
  <c r="BY25" i="107" s="1"/>
  <c r="CA25" i="107" s="1"/>
  <c r="CC25" i="107" s="1"/>
  <c r="CE25" i="107" s="1"/>
  <c r="CG25" i="107" s="1"/>
  <c r="CI25" i="107" s="1"/>
  <c r="CK25" i="107" s="1"/>
  <c r="CM25" i="107" s="1"/>
  <c r="CO25" i="107" s="1"/>
  <c r="CQ25" i="107" s="1"/>
  <c r="CS25" i="107" s="1"/>
  <c r="CU25" i="107" s="1"/>
  <c r="CW25" i="107" s="1"/>
  <c r="CY25" i="107" s="1"/>
  <c r="DC25" i="107" s="1"/>
  <c r="CZ5" i="107"/>
  <c r="I12" i="107"/>
  <c r="K12" i="107" s="1"/>
  <c r="M12" i="107" s="1"/>
  <c r="O12" i="107" s="1"/>
  <c r="Q12" i="107" s="1"/>
  <c r="S12" i="107" s="1"/>
  <c r="U12" i="107" s="1"/>
  <c r="W12" i="107" s="1"/>
  <c r="Y12" i="107" s="1"/>
  <c r="AA12" i="107" s="1"/>
  <c r="AC12" i="107" s="1"/>
  <c r="AE12" i="107" s="1"/>
  <c r="AG12" i="107" s="1"/>
  <c r="AI12" i="107" s="1"/>
  <c r="AK12" i="107" s="1"/>
  <c r="AM12" i="107" s="1"/>
  <c r="AO12" i="107" s="1"/>
  <c r="AQ12" i="107" s="1"/>
  <c r="AS12" i="107" s="1"/>
  <c r="AU12" i="107" s="1"/>
  <c r="AW12" i="107" s="1"/>
  <c r="AY12" i="107" s="1"/>
  <c r="BA12" i="107" s="1"/>
  <c r="BC12" i="107" s="1"/>
  <c r="BE12" i="107" s="1"/>
  <c r="BG12" i="107" s="1"/>
  <c r="BI12" i="107" s="1"/>
  <c r="BK12" i="107" s="1"/>
  <c r="BM12" i="107" s="1"/>
  <c r="BO12" i="107" s="1"/>
  <c r="BQ12" i="107" s="1"/>
  <c r="BS12" i="107" s="1"/>
  <c r="BU12" i="107" s="1"/>
  <c r="BW12" i="107" s="1"/>
  <c r="BY12" i="107" s="1"/>
  <c r="CA12" i="107" s="1"/>
  <c r="CC12" i="107" s="1"/>
  <c r="CE12" i="107" s="1"/>
  <c r="CG12" i="107" s="1"/>
  <c r="CI12" i="107" s="1"/>
  <c r="CK12" i="107" s="1"/>
  <c r="CM12" i="107" s="1"/>
  <c r="CO12" i="107" s="1"/>
  <c r="CQ12" i="107" s="1"/>
  <c r="CS12" i="107" s="1"/>
  <c r="CU12" i="107" s="1"/>
  <c r="CW12" i="107" s="1"/>
  <c r="CY12" i="107" s="1"/>
  <c r="DC12" i="107" s="1"/>
  <c r="I10" i="107"/>
  <c r="G30" i="107"/>
  <c r="I14" i="107"/>
  <c r="K14" i="107" s="1"/>
  <c r="M14" i="107" s="1"/>
  <c r="O14" i="107" s="1"/>
  <c r="Q14" i="107" s="1"/>
  <c r="S14" i="107" s="1"/>
  <c r="U14" i="107" s="1"/>
  <c r="W14" i="107" s="1"/>
  <c r="Y14" i="107" s="1"/>
  <c r="AA14" i="107" s="1"/>
  <c r="AC14" i="107" s="1"/>
  <c r="AE14" i="107" s="1"/>
  <c r="AG14" i="107" s="1"/>
  <c r="AI14" i="107" s="1"/>
  <c r="AK14" i="107" s="1"/>
  <c r="AM14" i="107" s="1"/>
  <c r="AO14" i="107" s="1"/>
  <c r="AQ14" i="107" s="1"/>
  <c r="AS14" i="107" s="1"/>
  <c r="AU14" i="107" s="1"/>
  <c r="AW14" i="107" s="1"/>
  <c r="AY14" i="107" s="1"/>
  <c r="BA14" i="107" s="1"/>
  <c r="BC14" i="107" s="1"/>
  <c r="BE14" i="107" s="1"/>
  <c r="BG14" i="107" s="1"/>
  <c r="BI14" i="107" s="1"/>
  <c r="BK14" i="107" s="1"/>
  <c r="BM14" i="107" s="1"/>
  <c r="BO14" i="107" s="1"/>
  <c r="BQ14" i="107" s="1"/>
  <c r="BS14" i="107" s="1"/>
  <c r="BU14" i="107" s="1"/>
  <c r="BW14" i="107" s="1"/>
  <c r="BY14" i="107" s="1"/>
  <c r="CA14" i="107" s="1"/>
  <c r="CC14" i="107" s="1"/>
  <c r="CE14" i="107" s="1"/>
  <c r="CG14" i="107" s="1"/>
  <c r="CI14" i="107" s="1"/>
  <c r="CK14" i="107" s="1"/>
  <c r="CM14" i="107" s="1"/>
  <c r="CO14" i="107" s="1"/>
  <c r="CQ14" i="107" s="1"/>
  <c r="CS14" i="107" s="1"/>
  <c r="CU14" i="107" s="1"/>
  <c r="CW14" i="107" s="1"/>
  <c r="CY14" i="107" s="1"/>
  <c r="DC14" i="107" s="1"/>
  <c r="G63" i="107"/>
  <c r="I63" i="107" s="1"/>
  <c r="K63" i="107" s="1"/>
  <c r="D63" i="107"/>
  <c r="G65" i="107"/>
  <c r="I65" i="107" s="1"/>
  <c r="K65" i="107" s="1"/>
  <c r="G67" i="107"/>
  <c r="I67" i="107" s="1"/>
  <c r="K67" i="107" s="1"/>
  <c r="G69" i="107"/>
  <c r="I69" i="107" s="1"/>
  <c r="K69" i="107" s="1"/>
  <c r="CZ17" i="107"/>
  <c r="I21" i="112" l="1"/>
  <c r="K21" i="112" s="1"/>
  <c r="M21" i="112" s="1"/>
  <c r="O21" i="112" s="1"/>
  <c r="Q21" i="112" s="1"/>
  <c r="S21" i="112" s="1"/>
  <c r="U21" i="112" s="1"/>
  <c r="W21" i="112" s="1"/>
  <c r="Y21" i="112" s="1"/>
  <c r="AA21" i="112" s="1"/>
  <c r="AC21" i="112" s="1"/>
  <c r="AE21" i="112" s="1"/>
  <c r="AG21" i="112" s="1"/>
  <c r="AI21" i="112" s="1"/>
  <c r="AK21" i="112" s="1"/>
  <c r="AM21" i="112" s="1"/>
  <c r="AO21" i="112" s="1"/>
  <c r="AQ21" i="112" s="1"/>
  <c r="AS21" i="112" s="1"/>
  <c r="AU21" i="112" s="1"/>
  <c r="AW21" i="112" s="1"/>
  <c r="AY21" i="112" s="1"/>
  <c r="BA21" i="112" s="1"/>
  <c r="BC21" i="112" s="1"/>
  <c r="BE21" i="112" s="1"/>
  <c r="BG21" i="112" s="1"/>
  <c r="BI21" i="112" s="1"/>
  <c r="BK21" i="112" s="1"/>
  <c r="BM21" i="112" s="1"/>
  <c r="BO21" i="112" s="1"/>
  <c r="BQ21" i="112" s="1"/>
  <c r="BS21" i="112" s="1"/>
  <c r="BU21" i="112" s="1"/>
  <c r="BW21" i="112" s="1"/>
  <c r="BY21" i="112" s="1"/>
  <c r="CA21" i="112" s="1"/>
  <c r="CC21" i="112" s="1"/>
  <c r="CE21" i="112" s="1"/>
  <c r="CG21" i="112" s="1"/>
  <c r="CI21" i="112" s="1"/>
  <c r="CK21" i="112" s="1"/>
  <c r="CM21" i="112" s="1"/>
  <c r="CO21" i="112" s="1"/>
  <c r="CQ21" i="112" s="1"/>
  <c r="CS21" i="112" s="1"/>
  <c r="CU21" i="112" s="1"/>
  <c r="CW21" i="112" s="1"/>
  <c r="CY21" i="112" s="1"/>
  <c r="DC21" i="112" s="1"/>
  <c r="CZ5" i="112"/>
  <c r="I27" i="112"/>
  <c r="K27" i="112" s="1"/>
  <c r="M27" i="112" s="1"/>
  <c r="O27" i="112" s="1"/>
  <c r="Q27" i="112" s="1"/>
  <c r="S27" i="112" s="1"/>
  <c r="U27" i="112" s="1"/>
  <c r="W27" i="112" s="1"/>
  <c r="Y27" i="112" s="1"/>
  <c r="AA27" i="112" s="1"/>
  <c r="AC27" i="112" s="1"/>
  <c r="AE27" i="112" s="1"/>
  <c r="AG27" i="112" s="1"/>
  <c r="AI27" i="112" s="1"/>
  <c r="AK27" i="112" s="1"/>
  <c r="AM27" i="112" s="1"/>
  <c r="AO27" i="112" s="1"/>
  <c r="AQ27" i="112" s="1"/>
  <c r="AS27" i="112" s="1"/>
  <c r="AU27" i="112" s="1"/>
  <c r="AW27" i="112" s="1"/>
  <c r="AY27" i="112" s="1"/>
  <c r="BA27" i="112" s="1"/>
  <c r="BC27" i="112" s="1"/>
  <c r="BE27" i="112" s="1"/>
  <c r="BG27" i="112" s="1"/>
  <c r="BI27" i="112" s="1"/>
  <c r="BK27" i="112" s="1"/>
  <c r="BM27" i="112" s="1"/>
  <c r="BO27" i="112" s="1"/>
  <c r="BQ27" i="112" s="1"/>
  <c r="BS27" i="112" s="1"/>
  <c r="BU27" i="112" s="1"/>
  <c r="BW27" i="112" s="1"/>
  <c r="BY27" i="112" s="1"/>
  <c r="CA27" i="112" s="1"/>
  <c r="CC27" i="112" s="1"/>
  <c r="CE27" i="112" s="1"/>
  <c r="CG27" i="112" s="1"/>
  <c r="CI27" i="112" s="1"/>
  <c r="CK27" i="112" s="1"/>
  <c r="CM27" i="112" s="1"/>
  <c r="CO27" i="112" s="1"/>
  <c r="CQ27" i="112" s="1"/>
  <c r="CS27" i="112" s="1"/>
  <c r="CU27" i="112" s="1"/>
  <c r="CW27" i="112" s="1"/>
  <c r="CY27" i="112" s="1"/>
  <c r="DC27" i="112" s="1"/>
  <c r="I23" i="112"/>
  <c r="K23" i="112" s="1"/>
  <c r="M23" i="112" s="1"/>
  <c r="O23" i="112" s="1"/>
  <c r="Q23" i="112" s="1"/>
  <c r="S23" i="112" s="1"/>
  <c r="U23" i="112" s="1"/>
  <c r="W23" i="112" s="1"/>
  <c r="Y23" i="112" s="1"/>
  <c r="AA23" i="112" s="1"/>
  <c r="AC23" i="112" s="1"/>
  <c r="AE23" i="112" s="1"/>
  <c r="AG23" i="112" s="1"/>
  <c r="AI23" i="112" s="1"/>
  <c r="AK23" i="112" s="1"/>
  <c r="AM23" i="112" s="1"/>
  <c r="AO23" i="112" s="1"/>
  <c r="AQ23" i="112" s="1"/>
  <c r="AS23" i="112" s="1"/>
  <c r="AU23" i="112" s="1"/>
  <c r="AW23" i="112" s="1"/>
  <c r="AY23" i="112" s="1"/>
  <c r="BA23" i="112" s="1"/>
  <c r="BC23" i="112" s="1"/>
  <c r="BE23" i="112" s="1"/>
  <c r="BG23" i="112" s="1"/>
  <c r="BI23" i="112" s="1"/>
  <c r="BK23" i="112" s="1"/>
  <c r="BM23" i="112" s="1"/>
  <c r="BO23" i="112" s="1"/>
  <c r="BQ23" i="112" s="1"/>
  <c r="BS23" i="112" s="1"/>
  <c r="BU23" i="112" s="1"/>
  <c r="BW23" i="112" s="1"/>
  <c r="BY23" i="112" s="1"/>
  <c r="CA23" i="112" s="1"/>
  <c r="CC23" i="112" s="1"/>
  <c r="CE23" i="112" s="1"/>
  <c r="CG23" i="112" s="1"/>
  <c r="CI23" i="112" s="1"/>
  <c r="CK23" i="112" s="1"/>
  <c r="CM23" i="112" s="1"/>
  <c r="CO23" i="112" s="1"/>
  <c r="CQ23" i="112" s="1"/>
  <c r="CS23" i="112" s="1"/>
  <c r="CU23" i="112" s="1"/>
  <c r="CW23" i="112" s="1"/>
  <c r="CY23" i="112" s="1"/>
  <c r="DC23" i="112" s="1"/>
  <c r="I12" i="112"/>
  <c r="K12" i="112" s="1"/>
  <c r="M12" i="112" s="1"/>
  <c r="O12" i="112" s="1"/>
  <c r="Q12" i="112" s="1"/>
  <c r="S12" i="112" s="1"/>
  <c r="U12" i="112" s="1"/>
  <c r="W12" i="112" s="1"/>
  <c r="Y12" i="112" s="1"/>
  <c r="AA12" i="112" s="1"/>
  <c r="AC12" i="112" s="1"/>
  <c r="AE12" i="112" s="1"/>
  <c r="AG12" i="112" s="1"/>
  <c r="AI12" i="112" s="1"/>
  <c r="AK12" i="112" s="1"/>
  <c r="AM12" i="112" s="1"/>
  <c r="AO12" i="112" s="1"/>
  <c r="AQ12" i="112" s="1"/>
  <c r="AS12" i="112" s="1"/>
  <c r="AU12" i="112" s="1"/>
  <c r="AW12" i="112" s="1"/>
  <c r="AY12" i="112" s="1"/>
  <c r="BA12" i="112" s="1"/>
  <c r="BC12" i="112" s="1"/>
  <c r="BE12" i="112" s="1"/>
  <c r="BG12" i="112" s="1"/>
  <c r="BI12" i="112" s="1"/>
  <c r="BK12" i="112" s="1"/>
  <c r="BM12" i="112" s="1"/>
  <c r="BO12" i="112" s="1"/>
  <c r="BQ12" i="112" s="1"/>
  <c r="BS12" i="112" s="1"/>
  <c r="BU12" i="112" s="1"/>
  <c r="BW12" i="112" s="1"/>
  <c r="BY12" i="112" s="1"/>
  <c r="CA12" i="112" s="1"/>
  <c r="CC12" i="112" s="1"/>
  <c r="CE12" i="112" s="1"/>
  <c r="CG12" i="112" s="1"/>
  <c r="CI12" i="112" s="1"/>
  <c r="CK12" i="112" s="1"/>
  <c r="CM12" i="112" s="1"/>
  <c r="CO12" i="112" s="1"/>
  <c r="CQ12" i="112" s="1"/>
  <c r="CS12" i="112" s="1"/>
  <c r="CU12" i="112" s="1"/>
  <c r="CW12" i="112" s="1"/>
  <c r="CY12" i="112" s="1"/>
  <c r="DC12" i="112" s="1"/>
  <c r="G69" i="112"/>
  <c r="I69" i="112" s="1"/>
  <c r="K69" i="112" s="1"/>
  <c r="G65" i="112"/>
  <c r="I65" i="112" s="1"/>
  <c r="K65" i="112" s="1"/>
  <c r="G67" i="112"/>
  <c r="I67" i="112" s="1"/>
  <c r="K67" i="112" s="1"/>
  <c r="G63" i="112"/>
  <c r="I63" i="112" s="1"/>
  <c r="K63" i="112" s="1"/>
  <c r="D63" i="112"/>
  <c r="G57" i="112"/>
  <c r="I57" i="112" s="1"/>
  <c r="K57" i="112" s="1"/>
  <c r="G55" i="112"/>
  <c r="I55" i="112" s="1"/>
  <c r="K55" i="112" s="1"/>
  <c r="G53" i="112"/>
  <c r="D57" i="112"/>
  <c r="CZ17" i="112"/>
  <c r="I10" i="112"/>
  <c r="G30" i="112"/>
  <c r="I25" i="112"/>
  <c r="K25" i="112" s="1"/>
  <c r="M25" i="112" s="1"/>
  <c r="O25" i="112" s="1"/>
  <c r="Q25" i="112" s="1"/>
  <c r="S25" i="112" s="1"/>
  <c r="U25" i="112" s="1"/>
  <c r="W25" i="112" s="1"/>
  <c r="Y25" i="112" s="1"/>
  <c r="AA25" i="112" s="1"/>
  <c r="AC25" i="112" s="1"/>
  <c r="AE25" i="112" s="1"/>
  <c r="AG25" i="112" s="1"/>
  <c r="AI25" i="112" s="1"/>
  <c r="AK25" i="112" s="1"/>
  <c r="AM25" i="112" s="1"/>
  <c r="AO25" i="112" s="1"/>
  <c r="AQ25" i="112" s="1"/>
  <c r="AS25" i="112" s="1"/>
  <c r="AU25" i="112" s="1"/>
  <c r="AW25" i="112" s="1"/>
  <c r="AY25" i="112" s="1"/>
  <c r="BA25" i="112" s="1"/>
  <c r="BC25" i="112" s="1"/>
  <c r="BE25" i="112" s="1"/>
  <c r="BG25" i="112" s="1"/>
  <c r="BI25" i="112" s="1"/>
  <c r="BK25" i="112" s="1"/>
  <c r="BM25" i="112" s="1"/>
  <c r="BO25" i="112" s="1"/>
  <c r="BQ25" i="112" s="1"/>
  <c r="BS25" i="112" s="1"/>
  <c r="BU25" i="112" s="1"/>
  <c r="BW25" i="112" s="1"/>
  <c r="BY25" i="112" s="1"/>
  <c r="CA25" i="112" s="1"/>
  <c r="CC25" i="112" s="1"/>
  <c r="CE25" i="112" s="1"/>
  <c r="CG25" i="112" s="1"/>
  <c r="CI25" i="112" s="1"/>
  <c r="CK25" i="112" s="1"/>
  <c r="CM25" i="112" s="1"/>
  <c r="CO25" i="112" s="1"/>
  <c r="CQ25" i="112" s="1"/>
  <c r="CS25" i="112" s="1"/>
  <c r="CU25" i="112" s="1"/>
  <c r="CW25" i="112" s="1"/>
  <c r="CY25" i="112" s="1"/>
  <c r="DC25" i="112" s="1"/>
  <c r="I14" i="112"/>
  <c r="K14" i="112" s="1"/>
  <c r="M14" i="112" s="1"/>
  <c r="O14" i="112" s="1"/>
  <c r="Q14" i="112" s="1"/>
  <c r="S14" i="112" s="1"/>
  <c r="U14" i="112" s="1"/>
  <c r="W14" i="112" s="1"/>
  <c r="Y14" i="112" s="1"/>
  <c r="AA14" i="112" s="1"/>
  <c r="AC14" i="112" s="1"/>
  <c r="AE14" i="112" s="1"/>
  <c r="AG14" i="112" s="1"/>
  <c r="AI14" i="112" s="1"/>
  <c r="AK14" i="112" s="1"/>
  <c r="AM14" i="112" s="1"/>
  <c r="AO14" i="112" s="1"/>
  <c r="AQ14" i="112" s="1"/>
  <c r="AS14" i="112" s="1"/>
  <c r="AU14" i="112" s="1"/>
  <c r="AW14" i="112" s="1"/>
  <c r="AY14" i="112" s="1"/>
  <c r="BA14" i="112" s="1"/>
  <c r="BC14" i="112" s="1"/>
  <c r="BE14" i="112" s="1"/>
  <c r="BG14" i="112" s="1"/>
  <c r="BI14" i="112" s="1"/>
  <c r="BK14" i="112" s="1"/>
  <c r="BM14" i="112" s="1"/>
  <c r="BO14" i="112" s="1"/>
  <c r="BQ14" i="112" s="1"/>
  <c r="BS14" i="112" s="1"/>
  <c r="BU14" i="112" s="1"/>
  <c r="BW14" i="112" s="1"/>
  <c r="BY14" i="112" s="1"/>
  <c r="CA14" i="112" s="1"/>
  <c r="CC14" i="112" s="1"/>
  <c r="CE14" i="112" s="1"/>
  <c r="CG14" i="112" s="1"/>
  <c r="CI14" i="112" s="1"/>
  <c r="CK14" i="112" s="1"/>
  <c r="CM14" i="112" s="1"/>
  <c r="CO14" i="112" s="1"/>
  <c r="CQ14" i="112" s="1"/>
  <c r="CS14" i="112" s="1"/>
  <c r="CU14" i="112" s="1"/>
  <c r="CW14" i="112" s="1"/>
  <c r="CY14" i="112" s="1"/>
  <c r="DC14" i="112" s="1"/>
  <c r="CZ27" i="107"/>
  <c r="CZ25" i="107"/>
  <c r="CZ12" i="107"/>
  <c r="D60" i="107"/>
  <c r="E60" i="107" s="1"/>
  <c r="G60" i="107" s="1"/>
  <c r="I60" i="107" s="1"/>
  <c r="K60" i="107" s="1"/>
  <c r="CZ21" i="107"/>
  <c r="I30" i="107"/>
  <c r="K10" i="107"/>
  <c r="M10" i="107" s="1"/>
  <c r="I53" i="107"/>
  <c r="CZ14" i="107"/>
  <c r="CZ23" i="107"/>
  <c r="CZ23" i="112" l="1"/>
  <c r="D66" i="107"/>
  <c r="CZ25" i="112"/>
  <c r="CZ27" i="112"/>
  <c r="D60" i="112"/>
  <c r="E60" i="112" s="1"/>
  <c r="G60" i="112" s="1"/>
  <c r="I60" i="112" s="1"/>
  <c r="K60" i="112" s="1"/>
  <c r="CZ21" i="112"/>
  <c r="K10" i="112"/>
  <c r="M10" i="112" s="1"/>
  <c r="I30" i="112"/>
  <c r="CZ14" i="112"/>
  <c r="I53" i="112"/>
  <c r="CZ12" i="112"/>
  <c r="G72" i="107"/>
  <c r="M30" i="107"/>
  <c r="O10" i="107"/>
  <c r="Q10" i="107" s="1"/>
  <c r="I72" i="107"/>
  <c r="K53" i="107"/>
  <c r="K72" i="107" s="1"/>
  <c r="M30" i="112" l="1"/>
  <c r="O10" i="112"/>
  <c r="Q10" i="112" s="1"/>
  <c r="D66" i="112"/>
  <c r="K53" i="112"/>
  <c r="K72" i="112" s="1"/>
  <c r="I72" i="112"/>
  <c r="G72" i="112"/>
  <c r="S10" i="107"/>
  <c r="U10" i="107" s="1"/>
  <c r="Q30" i="107"/>
  <c r="S10" i="112" l="1"/>
  <c r="U10" i="112" s="1"/>
  <c r="Q30" i="112"/>
  <c r="U30" i="107"/>
  <c r="W10" i="107"/>
  <c r="Y10" i="107" s="1"/>
  <c r="U30" i="112" l="1"/>
  <c r="W10" i="112"/>
  <c r="Y10" i="112" s="1"/>
  <c r="Y30" i="107"/>
  <c r="AA10" i="107"/>
  <c r="AC10" i="107" s="1"/>
  <c r="Y30" i="112" l="1"/>
  <c r="AA10" i="112"/>
  <c r="AC10" i="112" s="1"/>
  <c r="AC30" i="107"/>
  <c r="AE10" i="107"/>
  <c r="AG10" i="107" s="1"/>
  <c r="AC30" i="112" l="1"/>
  <c r="AE10" i="112"/>
  <c r="AG10" i="112" s="1"/>
  <c r="AG30" i="107"/>
  <c r="AI10" i="107"/>
  <c r="AK10" i="107" s="1"/>
  <c r="AI10" i="112" l="1"/>
  <c r="AK10" i="112" s="1"/>
  <c r="AG30" i="112"/>
  <c r="AK30" i="107"/>
  <c r="AM10" i="107"/>
  <c r="AO10" i="107" s="1"/>
  <c r="AK30" i="112" l="1"/>
  <c r="AM10" i="112"/>
  <c r="AO10" i="112" s="1"/>
  <c r="AQ10" i="107"/>
  <c r="AS10" i="107" s="1"/>
  <c r="AO30" i="107"/>
  <c r="AO30" i="112" l="1"/>
  <c r="AQ10" i="112"/>
  <c r="AS10" i="112" s="1"/>
  <c r="AS30" i="107"/>
  <c r="AU10" i="107"/>
  <c r="AW10" i="107" s="1"/>
  <c r="AS30" i="112" l="1"/>
  <c r="AU10" i="112"/>
  <c r="AW10" i="112" s="1"/>
  <c r="AW30" i="107"/>
  <c r="AY10" i="107"/>
  <c r="BA10" i="107" s="1"/>
  <c r="AW30" i="112" l="1"/>
  <c r="AY10" i="112"/>
  <c r="BA10" i="112" s="1"/>
  <c r="BC10" i="107"/>
  <c r="BE10" i="107" s="1"/>
  <c r="BA30" i="107"/>
  <c r="BA30" i="112" l="1"/>
  <c r="BC10" i="112"/>
  <c r="BE10" i="112" s="1"/>
  <c r="BE30" i="107"/>
  <c r="BG10" i="107"/>
  <c r="BI10" i="107" s="1"/>
  <c r="BE30" i="112" l="1"/>
  <c r="BG10" i="112"/>
  <c r="BI10" i="112" s="1"/>
  <c r="BK10" i="107"/>
  <c r="BM10" i="107" s="1"/>
  <c r="BI30" i="107"/>
  <c r="BI30" i="112" l="1"/>
  <c r="BK10" i="112"/>
  <c r="BM10" i="112" s="1"/>
  <c r="BO10" i="107"/>
  <c r="BQ10" i="107" s="1"/>
  <c r="BM30" i="107"/>
  <c r="BO10" i="112" l="1"/>
  <c r="BQ10" i="112" s="1"/>
  <c r="BM30" i="112"/>
  <c r="BQ30" i="107"/>
  <c r="BS10" i="107"/>
  <c r="BU10" i="107" s="1"/>
  <c r="BQ30" i="112" l="1"/>
  <c r="BS10" i="112"/>
  <c r="BU10" i="112" s="1"/>
  <c r="BU30" i="107"/>
  <c r="BW10" i="107"/>
  <c r="BY10" i="107" s="1"/>
  <c r="BU30" i="112" l="1"/>
  <c r="BW10" i="112"/>
  <c r="BY10" i="112" s="1"/>
  <c r="CA10" i="107"/>
  <c r="CC10" i="107" s="1"/>
  <c r="BY30" i="107"/>
  <c r="CA10" i="112" l="1"/>
  <c r="CC10" i="112" s="1"/>
  <c r="BY30" i="112"/>
  <c r="CC30" i="107"/>
  <c r="CE10" i="107"/>
  <c r="CG10" i="107" s="1"/>
  <c r="CC30" i="112" l="1"/>
  <c r="CE10" i="112"/>
  <c r="CG10" i="112" s="1"/>
  <c r="CG30" i="107"/>
  <c r="CI10" i="107"/>
  <c r="CK10" i="107" s="1"/>
  <c r="CG30" i="112" l="1"/>
  <c r="CI10" i="112"/>
  <c r="CK10" i="112" s="1"/>
  <c r="CM10" i="107"/>
  <c r="CO10" i="107" s="1"/>
  <c r="CK30" i="107"/>
  <c r="CM10" i="112" l="1"/>
  <c r="CO10" i="112" s="1"/>
  <c r="CK30" i="112"/>
  <c r="CO30" i="107"/>
  <c r="CQ10" i="107"/>
  <c r="CS10" i="107" s="1"/>
  <c r="CO30" i="112" l="1"/>
  <c r="CQ10" i="112"/>
  <c r="CS10" i="112" s="1"/>
  <c r="CS30" i="107"/>
  <c r="CU10" i="107"/>
  <c r="CW10" i="107" s="1"/>
  <c r="CS30" i="112" l="1"/>
  <c r="CU10" i="112"/>
  <c r="CW10" i="112" s="1"/>
  <c r="CZ10" i="112"/>
  <c r="CZ29" i="112" s="1"/>
  <c r="CZ33" i="112" s="1"/>
  <c r="CZ34" i="112" s="1"/>
  <c r="CW30" i="107"/>
  <c r="CZ30" i="107" s="1"/>
  <c r="CY10" i="107"/>
  <c r="DC10" i="107" s="1"/>
  <c r="DC29" i="107" s="1"/>
  <c r="DE29" i="107" s="1"/>
  <c r="DF29" i="107" s="1"/>
  <c r="CZ10" i="107"/>
  <c r="CZ29" i="107" s="1"/>
  <c r="CZ33" i="107" s="1"/>
  <c r="CZ34" i="107" s="1"/>
  <c r="CW30" i="112" l="1"/>
  <c r="CY10" i="112"/>
  <c r="DC10" i="112" s="1"/>
  <c r="DC29" i="112" s="1"/>
  <c r="DE29" i="112" s="1"/>
  <c r="DF29" i="112" s="1"/>
  <c r="L72" i="112"/>
  <c r="M72" i="112" s="1"/>
  <c r="DC31" i="112"/>
  <c r="CZ48" i="112"/>
  <c r="DC32" i="112"/>
  <c r="DE32" i="112" s="1"/>
  <c r="CZ30" i="112"/>
  <c r="L72" i="107"/>
  <c r="M72" i="107" s="1"/>
  <c r="DC31" i="107"/>
  <c r="CZ48" i="107"/>
  <c r="DC32" i="107"/>
  <c r="DE32" i="107" s="1"/>
  <c r="CZ56" i="112" l="1"/>
  <c r="CZ49" i="112"/>
  <c r="DE48" i="112"/>
  <c r="DE50" i="112" s="1"/>
  <c r="DE57" i="112" s="1"/>
  <c r="DF57" i="112" s="1"/>
  <c r="DF58" i="112" s="1"/>
  <c r="DE56" i="112" s="1"/>
  <c r="DE60" i="112"/>
  <c r="S72" i="112"/>
  <c r="Q72" i="112"/>
  <c r="U72" i="112" s="1"/>
  <c r="Q72" i="107"/>
  <c r="S72" i="107"/>
  <c r="DE60" i="107"/>
  <c r="DE48" i="107"/>
  <c r="DE50" i="107" s="1"/>
  <c r="DE57" i="107" s="1"/>
  <c r="DF57" i="107" s="1"/>
  <c r="DF58" i="107" s="1"/>
  <c r="DE56" i="107" s="1"/>
  <c r="CZ49" i="107"/>
  <c r="CZ56" i="107"/>
  <c r="DE61" i="112" l="1"/>
  <c r="DH48" i="112"/>
  <c r="DJ47" i="112"/>
  <c r="DH36" i="112" s="1"/>
  <c r="DB39" i="107"/>
  <c r="DB42" i="107"/>
  <c r="DB44" i="107" s="1"/>
  <c r="DB42" i="112"/>
  <c r="DB44" i="112" s="1"/>
  <c r="DB39" i="112"/>
  <c r="CZ80" i="112"/>
  <c r="CZ79" i="112"/>
  <c r="CZ75" i="112"/>
  <c r="CZ69" i="112"/>
  <c r="CZ81" i="112"/>
  <c r="CZ72" i="112"/>
  <c r="CZ62" i="112"/>
  <c r="CZ71" i="112"/>
  <c r="CZ78" i="112"/>
  <c r="CZ74" i="112"/>
  <c r="CZ59" i="112"/>
  <c r="CZ68" i="112"/>
  <c r="CZ70" i="112"/>
  <c r="CZ76" i="112"/>
  <c r="CZ66" i="112"/>
  <c r="CZ73" i="112"/>
  <c r="CZ67" i="112"/>
  <c r="CZ58" i="112"/>
  <c r="EG25" i="112" s="1"/>
  <c r="EG26" i="112" s="1"/>
  <c r="EG27" i="112" s="1"/>
  <c r="EG28" i="112" s="1"/>
  <c r="EG29" i="112" s="1"/>
  <c r="EG30" i="112" s="1"/>
  <c r="EG31" i="112" s="1"/>
  <c r="EG32" i="112" s="1"/>
  <c r="EG33" i="112" s="1"/>
  <c r="EG34" i="112" s="1"/>
  <c r="EG35" i="112" s="1"/>
  <c r="EG36" i="112" s="1"/>
  <c r="EG37" i="112" s="1"/>
  <c r="EG38" i="112" s="1"/>
  <c r="EG39" i="112" s="1"/>
  <c r="EG40" i="112" s="1"/>
  <c r="EG41" i="112" s="1"/>
  <c r="EG42" i="112" s="1"/>
  <c r="EG43" i="112" s="1"/>
  <c r="EG44" i="112" s="1"/>
  <c r="EG45" i="112" s="1"/>
  <c r="EG46" i="112" s="1"/>
  <c r="EG47" i="112" s="1"/>
  <c r="EG48" i="112" s="1"/>
  <c r="EG49" i="112" s="1"/>
  <c r="EG50" i="112" s="1"/>
  <c r="EG51" i="112" s="1"/>
  <c r="EG52" i="112" s="1"/>
  <c r="EG53" i="112" s="1"/>
  <c r="EG54" i="112" s="1"/>
  <c r="EG55" i="112" s="1"/>
  <c r="CZ63" i="112"/>
  <c r="CZ77" i="112"/>
  <c r="CZ61" i="112"/>
  <c r="CZ60" i="112"/>
  <c r="DA65" i="112"/>
  <c r="DA82" i="112" s="1"/>
  <c r="U72" i="107"/>
  <c r="CZ71" i="107"/>
  <c r="CZ81" i="107"/>
  <c r="CZ67" i="107"/>
  <c r="CZ72" i="107"/>
  <c r="CZ68" i="107"/>
  <c r="CZ62" i="107"/>
  <c r="CZ60" i="107"/>
  <c r="CZ66" i="107"/>
  <c r="CZ63" i="107"/>
  <c r="CZ79" i="107"/>
  <c r="E21" i="108" s="1"/>
  <c r="E23" i="108" s="1"/>
  <c r="CZ74" i="107"/>
  <c r="CZ78" i="107"/>
  <c r="E20" i="109" s="1"/>
  <c r="E22" i="109" s="1"/>
  <c r="DA65" i="107"/>
  <c r="DA82" i="107" s="1"/>
  <c r="CZ80" i="107"/>
  <c r="CZ61" i="107"/>
  <c r="CZ70" i="107"/>
  <c r="CZ77" i="107"/>
  <c r="E20" i="110" s="1"/>
  <c r="E22" i="110" s="1"/>
  <c r="CZ59" i="107"/>
  <c r="CZ73" i="107"/>
  <c r="CZ69" i="107"/>
  <c r="CZ58" i="107"/>
  <c r="EG25" i="107" s="1"/>
  <c r="EG26" i="107" s="1"/>
  <c r="EG27" i="107" s="1"/>
  <c r="EG28" i="107" s="1"/>
  <c r="EG29" i="107" s="1"/>
  <c r="EG30" i="107" s="1"/>
  <c r="EG31" i="107" s="1"/>
  <c r="EG32" i="107" s="1"/>
  <c r="EG33" i="107" s="1"/>
  <c r="EG34" i="107" s="1"/>
  <c r="EG35" i="107" s="1"/>
  <c r="EG36" i="107" s="1"/>
  <c r="EG37" i="107" s="1"/>
  <c r="EG38" i="107" s="1"/>
  <c r="EG39" i="107" s="1"/>
  <c r="EG40" i="107" s="1"/>
  <c r="EG41" i="107" s="1"/>
  <c r="EG42" i="107" s="1"/>
  <c r="EG43" i="107" s="1"/>
  <c r="EG44" i="107" s="1"/>
  <c r="EG45" i="107" s="1"/>
  <c r="EG46" i="107" s="1"/>
  <c r="EG47" i="107" s="1"/>
  <c r="EG48" i="107" s="1"/>
  <c r="EG49" i="107" s="1"/>
  <c r="EG50" i="107" s="1"/>
  <c r="EG51" i="107" s="1"/>
  <c r="EG52" i="107" s="1"/>
  <c r="EG53" i="107" s="1"/>
  <c r="EG54" i="107" s="1"/>
  <c r="EG55" i="107" s="1"/>
  <c r="CZ75" i="107"/>
  <c r="CZ76" i="107"/>
  <c r="DJ47" i="107"/>
  <c r="DH36" i="107" s="1"/>
  <c r="DE61" i="107"/>
  <c r="DH48" i="107"/>
  <c r="H22" i="110" l="1"/>
  <c r="H25" i="108" s="1"/>
  <c r="H23" i="109"/>
  <c r="DA83" i="112"/>
  <c r="CZ83" i="112" s="1"/>
  <c r="CZ84" i="112" s="1"/>
  <c r="DA84" i="112"/>
  <c r="H22" i="109"/>
  <c r="H24" i="108" s="1"/>
  <c r="H21" i="110"/>
  <c r="Y72" i="112"/>
  <c r="AA72" i="112" s="1"/>
  <c r="CZ85" i="112"/>
  <c r="H23" i="108"/>
  <c r="H20" i="110"/>
  <c r="H21" i="109"/>
  <c r="DA83" i="107"/>
  <c r="CZ83" i="107" s="1"/>
  <c r="CZ84" i="107" s="1"/>
  <c r="Y72" i="107"/>
  <c r="AA72" i="107" s="1"/>
  <c r="CZ85" i="107"/>
  <c r="AA76" i="112" l="1"/>
  <c r="CZ87" i="112"/>
  <c r="AA78" i="112"/>
  <c r="AA78" i="107"/>
  <c r="AA76" i="107"/>
  <c r="CZ87" i="107"/>
  <c r="DA84"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Nick-Ray</author>
  </authors>
  <commentList>
    <comment ref="F6" authorId="0" shapeId="0" xr:uid="{2511DA22-52B7-49D1-8A63-072F3A04E337}">
      <text>
        <r>
          <rPr>
            <b/>
            <sz val="9"/>
            <color indexed="81"/>
            <rFont val="Tahoma"/>
            <family val="2"/>
          </rPr>
          <t>Nick-Ray:</t>
        </r>
        <r>
          <rPr>
            <sz val="9"/>
            <color indexed="81"/>
            <rFont val="Tahoma"/>
            <family val="2"/>
          </rPr>
          <t xml:space="preserve">
Would be more, but we have already assigned 50% of bond to infrastructure so this is just what is needed within the plot of land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Nick-Ray</author>
  </authors>
  <commentList>
    <comment ref="BZ6" authorId="0" shapeId="0" xr:uid="{92139673-98DA-4B42-ABAA-8986F11108E0}">
      <text>
        <r>
          <rPr>
            <b/>
            <sz val="9"/>
            <color indexed="81"/>
            <rFont val="Tahoma"/>
            <family val="2"/>
          </rPr>
          <t>Nick-Ray:</t>
        </r>
        <r>
          <rPr>
            <sz val="9"/>
            <color indexed="81"/>
            <rFont val="Tahoma"/>
            <family val="2"/>
          </rPr>
          <t xml:space="preserve">
World Bank
https://en.wikipedia.org/wiki/List_of_countries_by_GDP_(nominal)</t>
        </r>
      </text>
    </comment>
  </commentList>
</comments>
</file>

<file path=xl/sharedStrings.xml><?xml version="1.0" encoding="utf-8"?>
<sst xmlns="http://schemas.openxmlformats.org/spreadsheetml/2006/main" count="13583" uniqueCount="1711">
  <si>
    <t>D1</t>
  </si>
  <si>
    <t>D2</t>
  </si>
  <si>
    <t>D3</t>
  </si>
  <si>
    <t>D4</t>
  </si>
  <si>
    <t>D5</t>
  </si>
  <si>
    <t>D6</t>
  </si>
  <si>
    <t>D7</t>
  </si>
  <si>
    <t>D8</t>
  </si>
  <si>
    <t>D9</t>
  </si>
  <si>
    <t>D10</t>
  </si>
  <si>
    <t>D11</t>
  </si>
  <si>
    <t>Grand Network</t>
  </si>
  <si>
    <t>Super Grand Network</t>
  </si>
  <si>
    <t>Small Company</t>
  </si>
  <si>
    <t>POP Point</t>
  </si>
  <si>
    <t>D12</t>
  </si>
  <si>
    <t>D13</t>
  </si>
  <si>
    <t>D14</t>
  </si>
  <si>
    <t>Abject Poverty Company</t>
  </si>
  <si>
    <t>Relative Poverty Company</t>
  </si>
  <si>
    <t>Global Network Cube #1</t>
  </si>
  <si>
    <t>Continental Cube #1</t>
  </si>
  <si>
    <t>2nd Tear Network (Primary Network in Prime Location)</t>
  </si>
  <si>
    <t>1st Tear Network (Primary Network in Poor Location)</t>
  </si>
  <si>
    <t>Standard Company (Primary Network in Abject Location)</t>
  </si>
  <si>
    <t>Once D10 is full it opens D11</t>
  </si>
  <si>
    <t>D15</t>
  </si>
  <si>
    <t>Angel City 2 Target (2024)</t>
  </si>
  <si>
    <t>Angel City 3 Target (2032</t>
  </si>
  <si>
    <t>Angel City 4 Target (2048)</t>
  </si>
  <si>
    <t>Angel City 5 Target (2080)</t>
  </si>
  <si>
    <t>POP Dimensions - D1 to D15 Abject to Angel City 5</t>
  </si>
  <si>
    <t>Month</t>
  </si>
  <si>
    <t>Year</t>
  </si>
  <si>
    <t>The Theory of Every Business</t>
  </si>
  <si>
    <t>Land</t>
  </si>
  <si>
    <t>https://en.wikipedia.org/wiki/16_Divisions</t>
  </si>
  <si>
    <t>Division 01 — General Requirements</t>
  </si>
  <si>
    <t>Division 02 — Site Construction</t>
  </si>
  <si>
    <t>Division 03 — Concrete</t>
  </si>
  <si>
    <t>Division 04 — Masonry</t>
  </si>
  <si>
    <t>Division 05 — Metals</t>
  </si>
  <si>
    <t>Division 06 — Wood and Plastics</t>
  </si>
  <si>
    <t>Division 07 — Thermal and Moisture Protection</t>
  </si>
  <si>
    <t>Division 08 — Doors and Windows</t>
  </si>
  <si>
    <t>Division 09 — Finishes</t>
  </si>
  <si>
    <t>Division 10 — Specialties</t>
  </si>
  <si>
    <t>Division 11 — Equipment</t>
  </si>
  <si>
    <t>Division 12 — Furnishings</t>
  </si>
  <si>
    <t>Division 13 — Special Construction</t>
  </si>
  <si>
    <t>Division 14 — Conveying Systems</t>
  </si>
  <si>
    <t>Division 15 — Mechanical</t>
  </si>
  <si>
    <t>Division 16 — Electrical</t>
  </si>
  <si>
    <t>Stage 1</t>
  </si>
  <si>
    <t>Villas</t>
  </si>
  <si>
    <t>Super Villas</t>
  </si>
  <si>
    <t>Medi Villas</t>
  </si>
  <si>
    <t>Estates</t>
  </si>
  <si>
    <t>Acres</t>
  </si>
  <si>
    <t>Total</t>
  </si>
  <si>
    <t xml:space="preserve">1  Sqate Mile = 640 acres </t>
  </si>
  <si>
    <t>Of which only 160 acres (25%) can be for housing</t>
  </si>
  <si>
    <t>Lakeside</t>
  </si>
  <si>
    <t>Villa Hotels</t>
  </si>
  <si>
    <t>Beds</t>
  </si>
  <si>
    <t>Complexes of 7, 3 bed villas</t>
  </si>
  <si>
    <t>Apartaments / Bungalows</t>
  </si>
  <si>
    <t>Build Cost per property</t>
  </si>
  <si>
    <t>Total Build Costs</t>
  </si>
  <si>
    <t>Property Types</t>
  </si>
  <si>
    <t>Cost per development</t>
  </si>
  <si>
    <t>Cost Per Property</t>
  </si>
  <si>
    <t>Double for Infrastuctre costs</t>
  </si>
  <si>
    <t>Commison</t>
  </si>
  <si>
    <t>Total Cost</t>
  </si>
  <si>
    <t>For Sale Price</t>
  </si>
  <si>
    <t>https://www.quora.com/How-much-do-cars-cost-to-manufacture</t>
  </si>
  <si>
    <t>Unproven rumor say: 1/4 of sale price are taxes, 1/4 are marketing, transport and dealer fee, 1/4 is accumulation for developing new model and 1/4 is real, production cost.</t>
  </si>
  <si>
    <t>The one that I can add to the conversation is tooling (the molds, jigs and fixtures needed to manufacture the parts on a car)…</t>
  </si>
  <si>
    <t>So if you sell 1 million cars, tooling costs per car are $200 to $600 per car. If it dropped to 100,000, it's $2000 to $6000 per car. </t>
  </si>
  <si>
    <t xml:space="preserve">Tooling for a refresh (new body) is typically $200M, a whole new design (generally every 5 years) is about $600M. </t>
  </si>
  <si>
    <t>https://www.pistonheads.com/gassing/topic.asp?h=0&amp;f=23&amp;t=215240</t>
  </si>
  <si>
    <t>500m for press tooling (assuming existing presses are retained) </t>
  </si>
  <si>
    <t>500m for other tools (mouldings, etc.) </t>
  </si>
  <si>
    <t>500m for rebuilding the assembly line </t>
  </si>
  <si>
    <t>1bn+ for an engine plant (if you need one) </t>
  </si>
  <si>
    <t>Maybe buy the land, build new buildings &amp; facilities </t>
  </si>
  <si>
    <t>Maybe a new paint shop ( 800m) </t>
  </si>
  <si>
    <t>The British sites are global producers, normally the sole production site, not replicas of existing facilities. And the rate of development means that every serious new build or refit should ideally be ground-up. </t>
  </si>
  <si>
    <t>Car</t>
  </si>
  <si>
    <t>Props</t>
  </si>
  <si>
    <t xml:space="preserve"># Number of </t>
  </si>
  <si>
    <t>&amp; Tax</t>
  </si>
  <si>
    <t>Plus Cars</t>
  </si>
  <si>
    <t>Tesla's with homes</t>
  </si>
  <si>
    <t>Tesla's sold in Africa</t>
  </si>
  <si>
    <t>Tesla's sold in Asia</t>
  </si>
  <si>
    <t>In Australia</t>
  </si>
  <si>
    <t>Other Locations</t>
  </si>
  <si>
    <t>Sqare Miles</t>
  </si>
  <si>
    <t>homes</t>
  </si>
  <si>
    <t>Real Estate</t>
  </si>
  <si>
    <t>USA</t>
  </si>
  <si>
    <t>Malawi</t>
  </si>
  <si>
    <t>Mozambique</t>
  </si>
  <si>
    <t>Papua New Guinea</t>
  </si>
  <si>
    <t>Zambia</t>
  </si>
  <si>
    <t>Eritrea</t>
  </si>
  <si>
    <t>Botswana</t>
  </si>
  <si>
    <t>KWH</t>
  </si>
  <si>
    <t>4. Longyangxia Dam Solar Park – 850MW – China</t>
  </si>
  <si>
    <t>The farm is expected to generate 220-gigawatt hours of electricity a year – enough power for 100,000 household</t>
  </si>
  <si>
    <r>
      <t>In the US typical </t>
    </r>
    <r>
      <rPr>
        <b/>
        <sz val="12"/>
        <color rgb="FF222222"/>
        <rFont val="Calibri Light"/>
        <family val="2"/>
        <scheme val="major"/>
      </rPr>
      <t>household</t>
    </r>
    <r>
      <rPr>
        <sz val="12"/>
        <color rgb="FF222222"/>
        <rFont val="Calibri Light"/>
        <family val="2"/>
        <scheme val="major"/>
      </rPr>
      <t> power consumption is about 11,700 kWh each year, in France it is 6,400 kWh, in the UK it is 4,600 kWh and in China around 1,300 kWh.</t>
    </r>
  </si>
  <si>
    <t>Average</t>
  </si>
  <si>
    <t>Longyangxia</t>
  </si>
  <si>
    <t>Houses</t>
  </si>
  <si>
    <t>Costs 1 $Billon</t>
  </si>
  <si>
    <t xml:space="preserve">A good number for solar farm cost per acre is typically $500,000 here in the U.S. </t>
  </si>
  <si>
    <t>http://innovativesolarfarms.com/solar-farm-cost-per-acre/</t>
  </si>
  <si>
    <t>https://www.solarinsure.com/largest-solar-power-plants</t>
  </si>
  <si>
    <t>You will find that typically a megawatt size solar farm system will need approximately five acres of land to be oriented and sited properly</t>
  </si>
  <si>
    <t>A one megawatt solar farm project will typically cost somewhere around $2.5 Million U.S. dollars and require a site of no less than about five acres.</t>
  </si>
  <si>
    <t>In another life, I was a business reporter, and one of my beats was energy. When writing those stories, I almost always used the handy formula 1 MW = 1,000 homes.</t>
  </si>
  <si>
    <t>https://www.boiseweekly.com/boise/megawhat/Content?oid=3433953</t>
  </si>
  <si>
    <t xml:space="preserve">According to the Solar Energy Industries Association, the number of homes powered by a MW of solar energy depends on average sunshine, electricity consumption, temperature and wind. Nationally, that's 164 homes per </t>
  </si>
  <si>
    <t>So 1 MW of solar could equate to 164 homes; 400-900 homes; or 1,000 homes.</t>
  </si>
  <si>
    <t>$2.5 million for 5 Acres gives about 500 US homes power</t>
  </si>
  <si>
    <t>The global average electricity consumption for households with electricity was roughly 3,500 kWh in 2012</t>
  </si>
  <si>
    <t>In villages we need far less per household/hut thus a village of 5,000 can be powered by $2.5million</t>
  </si>
  <si>
    <t>Homes</t>
  </si>
  <si>
    <t>Small Homes in Rural areas given 1,000 kWhhome power</t>
  </si>
  <si>
    <t>Small homes/huts in Rural areas given 1,000 kWhhome power</t>
  </si>
  <si>
    <t>People per house</t>
  </si>
  <si>
    <t>Total Population</t>
  </si>
  <si>
    <t>10% already have electricity</t>
  </si>
  <si>
    <t>People per Home</t>
  </si>
  <si>
    <t>1 KWh</t>
  </si>
  <si>
    <t>People</t>
  </si>
  <si>
    <t>Tablets</t>
  </si>
  <si>
    <t>Plus origional</t>
  </si>
  <si>
    <t>Abject Safe Bonds</t>
  </si>
  <si>
    <t>Phase 1</t>
  </si>
  <si>
    <t>1 Hectare of commercial land near airport</t>
  </si>
  <si>
    <t>For 1 square km</t>
  </si>
  <si>
    <t>2018-19</t>
  </si>
  <si>
    <t xml:space="preserve">land and Assets </t>
  </si>
  <si>
    <t>Electricity by Solar</t>
  </si>
  <si>
    <t>Industry</t>
  </si>
  <si>
    <t>Other</t>
  </si>
  <si>
    <t>Abject Safe bond</t>
  </si>
  <si>
    <t>Issued</t>
  </si>
  <si>
    <t>When half is Rezoned agricultural to commercial, industrial and residential</t>
  </si>
  <si>
    <t>Super Project Company Investment</t>
  </si>
  <si>
    <t xml:space="preserve">Facebook, SpaceX, Virgin, Microsoft, Google, The Corniche Group, Twitter, Disney, EA Games, Christies Real Estate, Southey's Realty, Tesla and others </t>
  </si>
  <si>
    <t>Infrastructure and Expenses</t>
  </si>
  <si>
    <t>Infrastructure</t>
  </si>
  <si>
    <t>Labour contribution to income</t>
  </si>
  <si>
    <t>Capital Value of Abject Safe Bonds</t>
  </si>
  <si>
    <t xml:space="preserve">Total Cost </t>
  </si>
  <si>
    <t>Total Return</t>
  </si>
  <si>
    <t>Phase 2</t>
  </si>
  <si>
    <t>Phase 3</t>
  </si>
  <si>
    <t>New Bonds of $32 billion issued</t>
  </si>
  <si>
    <t>Affect on current Bonds</t>
  </si>
  <si>
    <t>POP &amp; Give Half Back</t>
  </si>
  <si>
    <t>at 400%</t>
  </si>
  <si>
    <t>Capital Gain Tax</t>
  </si>
  <si>
    <t>at 300%</t>
  </si>
  <si>
    <t>at 200%</t>
  </si>
  <si>
    <t>at 100%</t>
  </si>
  <si>
    <t>Malawi &amp; Zimbabwe</t>
  </si>
  <si>
    <t>Of available Land</t>
  </si>
  <si>
    <t>S-World TBS &amp; UCS Development and simulations</t>
  </si>
  <si>
    <t>Super Project Network</t>
  </si>
  <si>
    <t>Abject Safe Bond</t>
  </si>
  <si>
    <t>For 230 Square KM</t>
  </si>
  <si>
    <t>If purchasing from a Malawian 25% of future profit share goes to the Malawian</t>
  </si>
  <si>
    <t>5 million Tablets @ $50 each</t>
  </si>
  <si>
    <t>Labour (Personnel)</t>
  </si>
  <si>
    <t>Referendum</t>
  </si>
  <si>
    <t>Number of Phase 1 Super Project companies</t>
  </si>
  <si>
    <t>Government Tax Alternate Payment and Land Rezoning</t>
  </si>
  <si>
    <t>Divide by 2</t>
  </si>
  <si>
    <t>Initial Value of Bond After GDP Rise</t>
  </si>
  <si>
    <t>Average Price of 800</t>
  </si>
  <si>
    <t>Value of Bond = Initial + Average</t>
  </si>
  <si>
    <t>2020-21</t>
  </si>
  <si>
    <t>All Malawi in km square</t>
  </si>
  <si>
    <t>When GDP = $16.5 billion</t>
  </si>
  <si>
    <t>When GDP = $33 billion</t>
  </si>
  <si>
    <t>2022-24</t>
  </si>
  <si>
    <t>Phase 2 Value</t>
  </si>
  <si>
    <t>Phase 2 Cost</t>
  </si>
  <si>
    <t>Cost of Bond</t>
  </si>
  <si>
    <t xml:space="preserve">Zimbabwe </t>
  </si>
  <si>
    <t>Glass</t>
  </si>
  <si>
    <t>Other Materials</t>
  </si>
  <si>
    <t>Window Factory Industry</t>
  </si>
  <si>
    <t>C-Suite</t>
  </si>
  <si>
    <t>Warehousing</t>
  </si>
  <si>
    <t xml:space="preserve">Sheet Aluminium </t>
  </si>
  <si>
    <t>Aluminium Factory Personnel</t>
  </si>
  <si>
    <t>Warehouse Staff</t>
  </si>
  <si>
    <t>Window Factory Staff</t>
  </si>
  <si>
    <t>Transport Staff</t>
  </si>
  <si>
    <t>Plus</t>
  </si>
  <si>
    <t>Term of Spartan Contract</t>
  </si>
  <si>
    <t>Vehicles</t>
  </si>
  <si>
    <t>Cost of Glass</t>
  </si>
  <si>
    <t>Cost of Transport</t>
  </si>
  <si>
    <t xml:space="preserve">Other </t>
  </si>
  <si>
    <t>Retail</t>
  </si>
  <si>
    <t>To S-World</t>
  </si>
  <si>
    <t>Export</t>
  </si>
  <si>
    <t xml:space="preserve">Profit </t>
  </si>
  <si>
    <t>Houses in 1st Grand Network</t>
  </si>
  <si>
    <t>Aluminium Windows per house</t>
  </si>
  <si>
    <t>That want aluminium windows</t>
  </si>
  <si>
    <t xml:space="preserve">Total </t>
  </si>
  <si>
    <t>Cost of Aluminium</t>
  </si>
  <si>
    <t>Rent</t>
  </si>
  <si>
    <t>Added Later</t>
  </si>
  <si>
    <t xml:space="preserve">Cost of Labour </t>
  </si>
  <si>
    <t>Cost of Warehousing</t>
  </si>
  <si>
    <t>50% to Bond Holders</t>
  </si>
  <si>
    <t>50% to Spartan Personnel</t>
  </si>
  <si>
    <t>Network Credits</t>
  </si>
  <si>
    <t>Assets</t>
  </si>
  <si>
    <t>Total Invested</t>
  </si>
  <si>
    <t>3 D5 Cubes</t>
  </si>
  <si>
    <t>Team Leaders</t>
  </si>
  <si>
    <t>Multiplier</t>
  </si>
  <si>
    <t>Land and Industry</t>
  </si>
  <si>
    <t>Profit in Year 2</t>
  </si>
  <si>
    <t>POP Profit</t>
  </si>
  <si>
    <t>Total Asset &amp; Cash Value</t>
  </si>
  <si>
    <t>Bond Value in Malawi</t>
  </si>
  <si>
    <t>Phase 1b</t>
  </si>
  <si>
    <t>Minimum Wage in 2017</t>
  </si>
  <si>
    <t>Day</t>
  </si>
  <si>
    <t>Week</t>
  </si>
  <si>
    <t xml:space="preserve">TWF Sale Value based on profit </t>
  </si>
  <si>
    <t>Windows</t>
  </si>
  <si>
    <t>Exports (outside Malawi or Zimbabwe)</t>
  </si>
  <si>
    <t>Total Contributed to Property Bonds</t>
  </si>
  <si>
    <t>256 Tenders</t>
  </si>
  <si>
    <t>From 3 Sources Windows and Exterior doors cost</t>
  </si>
  <si>
    <t>Equals</t>
  </si>
  <si>
    <t>Windows and doors are</t>
  </si>
  <si>
    <t>of build</t>
  </si>
  <si>
    <t>More company types</t>
  </si>
  <si>
    <t>Tender Companies</t>
  </si>
  <si>
    <t>Interiors</t>
  </si>
  <si>
    <t>House Building</t>
  </si>
  <si>
    <t xml:space="preserve">Solar </t>
  </si>
  <si>
    <t>Solar Suppliers</t>
  </si>
  <si>
    <t>Farms</t>
  </si>
  <si>
    <t>Infrastructure creation companies</t>
  </si>
  <si>
    <t>Note that 8 tenders for companies like solar 24 is not 24 different companies, rather it is the 'R' initial revenue of TWF x 24 (or can be two companies at x 12)</t>
  </si>
  <si>
    <t>TWF was only 25% of demand, could add alternate material companies or an additional aluminium company to create competition</t>
  </si>
  <si>
    <t>Electric Cars</t>
  </si>
  <si>
    <t>Electric Car Suppliers</t>
  </si>
  <si>
    <t xml:space="preserve">Farm machinery Suppliers </t>
  </si>
  <si>
    <t xml:space="preserve">Tablet manufacturers </t>
  </si>
  <si>
    <t>Tablet manufacturers suppliers</t>
  </si>
  <si>
    <t>half</t>
  </si>
  <si>
    <t>equal</t>
  </si>
  <si>
    <t>double</t>
  </si>
  <si>
    <t>Building Industry</t>
  </si>
  <si>
    <t>Other Technology</t>
  </si>
  <si>
    <t>Telephones</t>
  </si>
  <si>
    <t xml:space="preserve">Sports and Entertainment </t>
  </si>
  <si>
    <t>Movie Making</t>
  </si>
  <si>
    <t>R</t>
  </si>
  <si>
    <t>Commercial Property</t>
  </si>
  <si>
    <t>TWF Income</t>
  </si>
  <si>
    <t>Parts</t>
  </si>
  <si>
    <t>POP</t>
  </si>
  <si>
    <t>Sub Total</t>
  </si>
  <si>
    <t>Home Building</t>
  </si>
  <si>
    <t>M&lt;&gt;Bst Family</t>
  </si>
  <si>
    <t>Suppliers</t>
  </si>
  <si>
    <t>S-World Farms</t>
  </si>
  <si>
    <t>S-World Retail</t>
  </si>
  <si>
    <t>S-World Builds</t>
  </si>
  <si>
    <t>S-World Industry</t>
  </si>
  <si>
    <t>Land Owners</t>
  </si>
  <si>
    <t>Initial Revenue 'R'</t>
  </si>
  <si>
    <t>Spend 1</t>
  </si>
  <si>
    <t>Spin 1</t>
  </si>
  <si>
    <t>Month Spending</t>
  </si>
  <si>
    <t>Personnel</t>
  </si>
  <si>
    <t>All Suppliers Year 1</t>
  </si>
  <si>
    <t xml:space="preserve">Infrastructure </t>
  </si>
  <si>
    <t>S-World infrastructure</t>
  </si>
  <si>
    <t>RES 2</t>
  </si>
  <si>
    <t>TAX</t>
  </si>
  <si>
    <t>Tax</t>
  </si>
  <si>
    <t>Spin 2</t>
  </si>
  <si>
    <t>Spin 3</t>
  </si>
  <si>
    <t>Spin 4</t>
  </si>
  <si>
    <t>Spin 5</t>
  </si>
  <si>
    <t>Spin 6</t>
  </si>
  <si>
    <t>Spin 7</t>
  </si>
  <si>
    <t>Spin 8</t>
  </si>
  <si>
    <t>All 8 Spins</t>
  </si>
  <si>
    <t>Initial Input</t>
  </si>
  <si>
    <t>After 8 Spins</t>
  </si>
  <si>
    <t>Adds to GDP</t>
  </si>
  <si>
    <t>Total Spending  =</t>
  </si>
  <si>
    <t>Increased by</t>
  </si>
  <si>
    <t>Total GDP</t>
  </si>
  <si>
    <t>Audacious Project Revenue</t>
  </si>
  <si>
    <t>The TBS™</t>
  </si>
  <si>
    <t>Gross Profit</t>
  </si>
  <si>
    <t>S-World</t>
  </si>
  <si>
    <t>Percentage of S-World</t>
  </si>
  <si>
    <t xml:space="preserve">Percentage of Gross Profit </t>
  </si>
  <si>
    <t>SAME FOR</t>
  </si>
  <si>
    <t>S-World UCS™</t>
  </si>
  <si>
    <t>S-World VBN™</t>
  </si>
  <si>
    <t>IN ADDITION</t>
  </si>
  <si>
    <t>25% for S-World Revenue goes to M-System 3. The Susskind Boost</t>
  </si>
  <si>
    <t xml:space="preserve">And (only in the most extreme emergencies) </t>
  </si>
  <si>
    <t>50% of S-World Revenue (plus the 25% from the Susskind Boost) can be diverted from Audacious Projects Revenue to assist a mass failure of companies</t>
  </si>
  <si>
    <t>For example the predicted crash of the US dollar and other FIAT Currency</t>
  </si>
  <si>
    <t>In which case S-World would assist its US companies that would otherwise go bankrupt</t>
  </si>
  <si>
    <t>(See RES 4)</t>
  </si>
  <si>
    <t>Then the TBS™ revenue from Malawi in 2023 is</t>
  </si>
  <si>
    <t>Add as much again for Western Virtual and B-POP Networks</t>
  </si>
  <si>
    <t xml:space="preserve">For a 2033 total of </t>
  </si>
  <si>
    <t>Split Globally</t>
  </si>
  <si>
    <t>Split with personnel</t>
  </si>
  <si>
    <t>GIVE HALF BACK (GHB)</t>
  </si>
  <si>
    <t>TBS™ 2033 after GHB</t>
  </si>
  <si>
    <t>INVEST in S-WORLD BONDS</t>
  </si>
  <si>
    <t>TBS™ 2033 Gross Profit</t>
  </si>
  <si>
    <t xml:space="preserve">Plus has </t>
  </si>
  <si>
    <t>in S-World Bonds</t>
  </si>
  <si>
    <t xml:space="preserve">Top Tear Equity Holder 0wns </t>
  </si>
  <si>
    <t>of TBS™</t>
  </si>
  <si>
    <t>Split with essential partners</t>
  </si>
  <si>
    <t>Cost of Investment</t>
  </si>
  <si>
    <t>Plus owns</t>
  </si>
  <si>
    <t>In S-World Bonds</t>
  </si>
  <si>
    <t>Top Tear Equity Holder Profit Share</t>
  </si>
  <si>
    <t>TBS™ 2033 Revenue</t>
  </si>
  <si>
    <t>Development and other Costs</t>
  </si>
  <si>
    <t>Individual Revenue (profit share) in 2033</t>
  </si>
  <si>
    <t>(Minus Tax)</t>
  </si>
  <si>
    <t xml:space="preserve">Yes, its ironic, that the current poorest countries, could in the future bail out the richest, but that’s equality for you, the knife cuts both ways. </t>
  </si>
  <si>
    <t>Total for Top Tear Equity Holder</t>
  </si>
  <si>
    <t>(Malawi  TBS™ Income 2033)</t>
  </si>
  <si>
    <t>(64 GN TBS™ Income 2033)</t>
  </si>
  <si>
    <t>(Malawi  TBS™ Income 2023)</t>
  </si>
  <si>
    <t>(All West TBS™ Income 2033)</t>
  </si>
  <si>
    <t>(All TBS™ Income 2033)</t>
  </si>
  <si>
    <t>(Revenue minus Development)</t>
  </si>
  <si>
    <t>Villa Secrets Model 1 (12.5% of GGW String)</t>
  </si>
  <si>
    <t>If The TBS™ takes 1.5625% of each S-World Companies Revenue</t>
  </si>
  <si>
    <t>If Malawi increases 3 fold in 10 years after 2023</t>
  </si>
  <si>
    <t>If 31 other B-POP Grand Networks are created by 2028</t>
  </si>
  <si>
    <t>(See TAB 'POP Dimensions')</t>
  </si>
  <si>
    <t>2023 Profit Share + Bonds</t>
  </si>
  <si>
    <t>More if the network achieves a critical mass where all companies join</t>
  </si>
  <si>
    <t>S-World Non Ť (Tender) or Upgrade</t>
  </si>
  <si>
    <t>Orders from Infrastructure Ť</t>
  </si>
  <si>
    <t>Non Ťenders</t>
  </si>
  <si>
    <t>Barack Obama</t>
  </si>
  <si>
    <t>Elon Musk</t>
  </si>
  <si>
    <t>Paul G Allen</t>
  </si>
  <si>
    <t>Richard Branson</t>
  </si>
  <si>
    <t>Hani Farsi</t>
  </si>
  <si>
    <t>Michelle &amp; Barack Obama</t>
  </si>
  <si>
    <t>Melinda &amp; Bill Gates</t>
  </si>
  <si>
    <t>Alternates</t>
  </si>
  <si>
    <t>Pricilla &amp; Mark Zuckerberg</t>
  </si>
  <si>
    <t>Al Gore</t>
  </si>
  <si>
    <t>Sheikh Mansour</t>
  </si>
  <si>
    <t>Larry Page</t>
  </si>
  <si>
    <t>Oprah Winfrey</t>
  </si>
  <si>
    <t>Warren Buffett</t>
  </si>
  <si>
    <t>Bill and Hillary Clinton</t>
  </si>
  <si>
    <t>Sergey Brin</t>
  </si>
  <si>
    <t>Dustin Moskovitz</t>
  </si>
  <si>
    <t>Jeff Bezos</t>
  </si>
  <si>
    <t>Nick Ray Ball</t>
  </si>
  <si>
    <t>US Audacious Projects Investors</t>
  </si>
  <si>
    <t>Jack Dorsey</t>
  </si>
  <si>
    <t>Steve Forbes</t>
  </si>
  <si>
    <t>Harvard</t>
  </si>
  <si>
    <t>Pricilla Zuckerberg</t>
  </si>
  <si>
    <t>Universities</t>
  </si>
  <si>
    <t>S-World VSN™ &amp; VBN™</t>
  </si>
  <si>
    <t>Tom Cruise</t>
  </si>
  <si>
    <t>S-World Film, Music, Arts and Media</t>
  </si>
  <si>
    <t>Will Wright</t>
  </si>
  <si>
    <t>Endowment</t>
  </si>
  <si>
    <t>Disney</t>
  </si>
  <si>
    <t>Oculus Rift</t>
  </si>
  <si>
    <t>SONY</t>
  </si>
  <si>
    <t>SAMSUNG</t>
  </si>
  <si>
    <t>Facebook</t>
  </si>
  <si>
    <t>Twitter</t>
  </si>
  <si>
    <t>U2</t>
  </si>
  <si>
    <t>Lloyd Blankfein</t>
  </si>
  <si>
    <t>Henry Paulson</t>
  </si>
  <si>
    <t>Obama Children</t>
  </si>
  <si>
    <t>CBS</t>
  </si>
  <si>
    <t>Time Warner</t>
  </si>
  <si>
    <t>Viacom</t>
  </si>
  <si>
    <t>News Corp</t>
  </si>
  <si>
    <t>GE</t>
  </si>
  <si>
    <t>Angelina Jolie</t>
  </si>
  <si>
    <t>Malia Obama</t>
  </si>
  <si>
    <t>Sasha Obama</t>
  </si>
  <si>
    <t>Madonna</t>
  </si>
  <si>
    <t xml:space="preserve"> Jami Gertz</t>
  </si>
  <si>
    <t>George Lucas</t>
  </si>
  <si>
    <t>Matthew McConaughey</t>
  </si>
  <si>
    <t>Leonardo Dicaprio</t>
  </si>
  <si>
    <t>Meryl Streep</t>
  </si>
  <si>
    <t>Bill &amp; Melinda Gates</t>
  </si>
  <si>
    <t>LinkedIn</t>
  </si>
  <si>
    <t>Google</t>
  </si>
  <si>
    <t>LinkedIn (Microsoft)</t>
  </si>
  <si>
    <t>Larry Page &amp; Google</t>
  </si>
  <si>
    <t>Nick Ray Ball (25% vote)</t>
  </si>
  <si>
    <t>1st to Support</t>
  </si>
  <si>
    <t>ChanZuckerberg &amp;/or FB</t>
  </si>
  <si>
    <t>Bill &amp; Melinda Gates F..</t>
  </si>
  <si>
    <t>Richard Branson &amp; Virgin</t>
  </si>
  <si>
    <t>Sergey Brin &amp; Google.org</t>
  </si>
  <si>
    <t>Larry Page &amp; Google.org</t>
  </si>
  <si>
    <t>ChanZuckerberg &amp; FB</t>
  </si>
  <si>
    <t>Barack Obama (Foundation)</t>
  </si>
  <si>
    <t>Paul G Allen Foundation</t>
  </si>
  <si>
    <t>Universities (Harvard +? )</t>
  </si>
  <si>
    <t>Jack Dorsey &amp; Twitter</t>
  </si>
  <si>
    <t>Lloyd Blankfein &amp; Goldman Sachs</t>
  </si>
  <si>
    <t>Clinton Foundation</t>
  </si>
  <si>
    <t>Business</t>
  </si>
  <si>
    <t>Economics</t>
  </si>
  <si>
    <t>Yale</t>
  </si>
  <si>
    <t>Stephen Hawking &amp; Cambridge</t>
  </si>
  <si>
    <t>Warren Buffett &amp; Giving Pledge</t>
  </si>
  <si>
    <t>Warren Buffett &amp; Berkshire Hathaway</t>
  </si>
  <si>
    <t>Steve Forbes &amp; Forbes Magazine</t>
  </si>
  <si>
    <t>Sasha Obama (Foundation)</t>
  </si>
  <si>
    <t>Sergey Brin &amp; Google</t>
  </si>
  <si>
    <t>Michelle Obama (Foundation)</t>
  </si>
  <si>
    <t>Jeff Bezos &amp; Amazon</t>
  </si>
  <si>
    <t>Prof. Edward Witten &amp; Princeton</t>
  </si>
  <si>
    <t>Dr. Games Gates</t>
  </si>
  <si>
    <t>Tom Hanks</t>
  </si>
  <si>
    <t>Sundar Pichai</t>
  </si>
  <si>
    <t>Thomas Picketty</t>
  </si>
  <si>
    <t>Richard Thaler</t>
  </si>
  <si>
    <t>Moyikwa Sisulu</t>
  </si>
  <si>
    <t>Sundar Pichai &amp; Google</t>
  </si>
  <si>
    <t>Leonard Susskind &amp; Stanford Uni.</t>
  </si>
  <si>
    <t>Subject</t>
  </si>
  <si>
    <t>http://money.cnn.com/2016/01/27/pf/college/largest-college-endowments/index.html</t>
  </si>
  <si>
    <t>Dumani Mandela</t>
  </si>
  <si>
    <t>JJ Abrahams</t>
  </si>
  <si>
    <t>Pharmaceuticals</t>
  </si>
  <si>
    <t>Source</t>
  </si>
  <si>
    <t>Cambridge</t>
  </si>
  <si>
    <t>Oxford</t>
  </si>
  <si>
    <t>Princeton</t>
  </si>
  <si>
    <t>Caltech</t>
  </si>
  <si>
    <t>University of California, Berkeley (UCB)</t>
  </si>
  <si>
    <t>Harvard Business School</t>
  </si>
  <si>
    <t>University of California, Los Angeles (UCLA)</t>
  </si>
  <si>
    <t>New York University (NYU)</t>
  </si>
  <si>
    <t>University of Texas system</t>
  </si>
  <si>
    <t>Stanford</t>
  </si>
  <si>
    <t>https://www.forbes.com/pictures/efhm45fhgd/21-university-of-southe/#459206751f20</t>
  </si>
  <si>
    <t>University of Maryland</t>
  </si>
  <si>
    <t>University of Chicago</t>
  </si>
  <si>
    <t>https://www.forbes.com/pictures/efhm45fhgd/13-university-of-califo/#c5a20d5ad6da</t>
  </si>
  <si>
    <t>Columbia University</t>
  </si>
  <si>
    <t>http://investments.caltech.edu/</t>
  </si>
  <si>
    <t>https://en.wikipedia.org/wiki/List_of_Canadian_universities_by_endowment</t>
  </si>
  <si>
    <t>University of Toronto</t>
  </si>
  <si>
    <t>LSE - London School of Economics</t>
  </si>
  <si>
    <t>S-World Film</t>
  </si>
  <si>
    <t>City College of New York</t>
  </si>
  <si>
    <t>Physics</t>
  </si>
  <si>
    <t>VSN™ &amp; UCS™</t>
  </si>
  <si>
    <t>Computer Engineering</t>
  </si>
  <si>
    <t>The Juilliard School</t>
  </si>
  <si>
    <t>The New York Film Academy</t>
  </si>
  <si>
    <t>The Los Angeles Film School</t>
  </si>
  <si>
    <t>Philosophy</t>
  </si>
  <si>
    <t>MIT - Massachusetts Institute of Technology</t>
  </si>
  <si>
    <t>Computer Science</t>
  </si>
  <si>
    <t>Engineering</t>
  </si>
  <si>
    <t>Billion</t>
  </si>
  <si>
    <t>Computer and Information Sciences</t>
  </si>
  <si>
    <t>Physics &amp; Engineering</t>
  </si>
  <si>
    <t>Film School</t>
  </si>
  <si>
    <t>School for Advanced Studies in the Social Sciences</t>
  </si>
  <si>
    <t>Paris School of Economics</t>
  </si>
  <si>
    <t>Social Sciences</t>
  </si>
  <si>
    <t>S-World Water</t>
  </si>
  <si>
    <t>S-World Power</t>
  </si>
  <si>
    <t>S-World Healthcare</t>
  </si>
  <si>
    <t>Join the debate @ S-World.org</t>
  </si>
  <si>
    <t>S-World Foods</t>
  </si>
  <si>
    <t>Performing Arts</t>
  </si>
  <si>
    <t>Sir Richard Branson</t>
  </si>
  <si>
    <t>Bill and Melinda G…</t>
  </si>
  <si>
    <t xml:space="preserve">Sergey Brin </t>
  </si>
  <si>
    <t>ChanZuckerberg</t>
  </si>
  <si>
    <t>Solar Desalinization Cape Town</t>
  </si>
  <si>
    <t>$1 billion S-World Bonds</t>
  </si>
  <si>
    <t>Malia Ann Obama</t>
  </si>
  <si>
    <t>Children</t>
  </si>
  <si>
    <t>Jennifer Katharine Gates</t>
  </si>
  <si>
    <t>Phoebe Adele Gates</t>
  </si>
  <si>
    <t>Rory John Gates</t>
  </si>
  <si>
    <t>Nevada Alexander Musk</t>
  </si>
  <si>
    <t>Kai Musk</t>
  </si>
  <si>
    <t>Griffin Musk</t>
  </si>
  <si>
    <t>Xavier Musk</t>
  </si>
  <si>
    <t>Saxon Musk</t>
  </si>
  <si>
    <t>Damian Musk</t>
  </si>
  <si>
    <t>Not Public</t>
  </si>
  <si>
    <t>Under 18</t>
  </si>
  <si>
    <t>Maxima Chan Zuckerberg</t>
  </si>
  <si>
    <t>August Chan Zuckerberg</t>
  </si>
  <si>
    <t>Holly Branson</t>
  </si>
  <si>
    <t>Clare Sarah Branson</t>
  </si>
  <si>
    <t>With Angel Sienna</t>
  </si>
  <si>
    <t>Sam Branson</t>
  </si>
  <si>
    <t>Chloe Wojin (Brin)</t>
  </si>
  <si>
    <t>Benji Wojin (Brin)</t>
  </si>
  <si>
    <t>Larry Page First Son</t>
  </si>
  <si>
    <t>Kavya Pichai</t>
  </si>
  <si>
    <t>Kiran Pichai</t>
  </si>
  <si>
    <t xml:space="preserve">About </t>
  </si>
  <si>
    <t>Joan Templeman</t>
  </si>
  <si>
    <t>Satya Nadella</t>
  </si>
  <si>
    <t>CEO Microsoft</t>
  </si>
  <si>
    <t>Steve Ballmer</t>
  </si>
  <si>
    <t>Old CEO of Microsoft</t>
  </si>
  <si>
    <t>Indra Nooyi</t>
  </si>
  <si>
    <t xml:space="preserve">CEO of Pepsi </t>
  </si>
  <si>
    <t>Shantanu Narayen</t>
  </si>
  <si>
    <t>CEO of Adobe</t>
  </si>
  <si>
    <t>Ginni Rometty</t>
  </si>
  <si>
    <t>CEO of IBM</t>
  </si>
  <si>
    <t>Larry Ellison</t>
  </si>
  <si>
    <t xml:space="preserve">CEO of Oracle </t>
  </si>
  <si>
    <t>After initial allocation (per above) all percentages are halved, and 200% will be mostly allocated to key patent holders</t>
  </si>
  <si>
    <t>Larry Page Second Child</t>
  </si>
  <si>
    <t>Mukesh Ambani</t>
  </si>
  <si>
    <t>Eric Schmidt</t>
  </si>
  <si>
    <t>Jack Ma</t>
  </si>
  <si>
    <t>Carlos Slim</t>
  </si>
  <si>
    <t>Saudi</t>
  </si>
  <si>
    <t>UAE</t>
  </si>
  <si>
    <t>Egypt</t>
  </si>
  <si>
    <t>Oman</t>
  </si>
  <si>
    <t>Algeria</t>
  </si>
  <si>
    <t>Sunni</t>
  </si>
  <si>
    <t>Ibadi</t>
  </si>
  <si>
    <t>Prince Alwaleed Bin Talal Alsaud</t>
  </si>
  <si>
    <t>Majid Al Futtaim &amp; Family</t>
  </si>
  <si>
    <t>Nassef Sawiris</t>
  </si>
  <si>
    <t>Suhail Bahwan</t>
  </si>
  <si>
    <t>Sheikh Mohammed Hussein Ali Al Amoudi</t>
  </si>
  <si>
    <t>SHERYL SANDBERG</t>
  </si>
  <si>
    <t xml:space="preserve">Non Ťender Profit Percentage </t>
  </si>
  <si>
    <t xml:space="preserve">Ťender Profit Percentage </t>
  </si>
  <si>
    <t>Global GDP</t>
  </si>
  <si>
    <t>How much is Bill Gates time worth?</t>
  </si>
  <si>
    <t>Net Worth</t>
  </si>
  <si>
    <t>90.5 billion USD</t>
  </si>
  <si>
    <t>Yearly Income</t>
  </si>
  <si>
    <t>Daily Income</t>
  </si>
  <si>
    <t>4 Hours</t>
  </si>
  <si>
    <t>1 Hour</t>
  </si>
  <si>
    <t xml:space="preserve">Well actually this is what he makes in an hour, but it’s a good start </t>
  </si>
  <si>
    <t>Elon Musk SpaceX (25% vote)</t>
  </si>
  <si>
    <t>Mark Zuckerberg &amp; FB (25% vote)</t>
  </si>
  <si>
    <t>Bill &amp; Melinda Gates F.. (25% vote)</t>
  </si>
  <si>
    <t>Nick Ray Ball (12.5% vote)</t>
  </si>
  <si>
    <t>Dr Amanda Peet</t>
  </si>
  <si>
    <t>Will Split Into 4. Film, Music, News &amp; Concierge</t>
  </si>
  <si>
    <t>Steve wozniak</t>
  </si>
  <si>
    <t>Executive Chairman of Alphabet ink  &amp; Google</t>
  </si>
  <si>
    <t>Others to incude…</t>
  </si>
  <si>
    <t>$ in Billions</t>
  </si>
  <si>
    <t>A 3.25% Equity holder</t>
  </si>
  <si>
    <t>Europe</t>
  </si>
  <si>
    <t>Round 1</t>
  </si>
  <si>
    <t>India</t>
  </si>
  <si>
    <t xml:space="preserve">Indonesia </t>
  </si>
  <si>
    <t>Greece</t>
  </si>
  <si>
    <t>Philippines</t>
  </si>
  <si>
    <t>Southern Africa</t>
  </si>
  <si>
    <t>Brazil</t>
  </si>
  <si>
    <t>Uruguay</t>
  </si>
  <si>
    <t>South Africa</t>
  </si>
  <si>
    <t>Tanzania</t>
  </si>
  <si>
    <t>Ghana</t>
  </si>
  <si>
    <t>Round 2</t>
  </si>
  <si>
    <t>NA</t>
  </si>
  <si>
    <t>?</t>
  </si>
  <si>
    <t>Turkey</t>
  </si>
  <si>
    <t>Burundi</t>
  </si>
  <si>
    <t xml:space="preserve">Russia </t>
  </si>
  <si>
    <t xml:space="preserve">China &amp; </t>
  </si>
  <si>
    <t>Central America</t>
  </si>
  <si>
    <t xml:space="preserve">South &amp; </t>
  </si>
  <si>
    <t>Central, West &amp;</t>
  </si>
  <si>
    <t>North Africa &amp;</t>
  </si>
  <si>
    <t>Vietnam</t>
  </si>
  <si>
    <t xml:space="preserve"> Middle East</t>
  </si>
  <si>
    <t>The Rest</t>
  </si>
  <si>
    <t>of Asia</t>
  </si>
  <si>
    <t xml:space="preserve">British </t>
  </si>
  <si>
    <t>Commonwealth*</t>
  </si>
  <si>
    <t>The EU</t>
  </si>
  <si>
    <t>The</t>
  </si>
  <si>
    <t>https://www.cia.gov/library/publications/the-world-factbook/rankorder/2004rank.html</t>
  </si>
  <si>
    <t>Congo</t>
  </si>
  <si>
    <t>Central African Republic</t>
  </si>
  <si>
    <t xml:space="preserve">Madagascar </t>
  </si>
  <si>
    <t>Togo</t>
  </si>
  <si>
    <t>Burkina Faso</t>
  </si>
  <si>
    <t>https://en.wikipedia.org/wiki/List_of_countries_by_GDP_(PPP)_per_capita</t>
  </si>
  <si>
    <t>Afghanistan</t>
  </si>
  <si>
    <t>Nepal</t>
  </si>
  <si>
    <t>Cambodia</t>
  </si>
  <si>
    <t>Bangladesh</t>
  </si>
  <si>
    <t>East Timor</t>
  </si>
  <si>
    <t>Pakistan</t>
  </si>
  <si>
    <t>Tonga</t>
  </si>
  <si>
    <t>POP Dimensions Tab - Standard Company:</t>
  </si>
  <si>
    <t xml:space="preserve">Year: </t>
  </si>
  <si>
    <t>Number of companies</t>
  </si>
  <si>
    <t>1 Company</t>
  </si>
  <si>
    <t>NC Y1</t>
  </si>
  <si>
    <t>NC Y2</t>
  </si>
  <si>
    <t>POP Y1</t>
  </si>
  <si>
    <t>Companies Owned</t>
  </si>
  <si>
    <t>2 Companies</t>
  </si>
  <si>
    <t>4 Companies</t>
  </si>
  <si>
    <t>New Company 1st Year</t>
  </si>
  <si>
    <t>New Company 2nd Year</t>
  </si>
  <si>
    <t>New Company 3rd Year</t>
  </si>
  <si>
    <t>Rule:</t>
  </si>
  <si>
    <t>If POP Y1 add 2 NC Y1 each year</t>
  </si>
  <si>
    <t>2.8 Gazillion US dollars</t>
  </si>
  <si>
    <t>17 Billion Companies</t>
  </si>
  <si>
    <t>POP Point = 25% of Turnover</t>
  </si>
  <si>
    <t>Turnover =</t>
  </si>
  <si>
    <t>Turnover = GDP</t>
  </si>
  <si>
    <t>GDP =</t>
  </si>
  <si>
    <t>“The notion that this is the smallest constituent is paradoxically not at odds with the statement that it may also be the whole universe.”</t>
  </si>
  <si>
    <t>M-Systems 9. Super Coupling 1.02</t>
  </si>
  <si>
    <t>Professor Michael Green</t>
  </si>
  <si>
    <t>Std. Company POP</t>
  </si>
  <si>
    <t>If POP is 25% of turnover</t>
  </si>
  <si>
    <t>GDP</t>
  </si>
  <si>
    <t>Super Coupling GDP =</t>
  </si>
  <si>
    <t>0.5 Gazillion</t>
  </si>
  <si>
    <t>11.5 Gazillion</t>
  </si>
  <si>
    <t>at:</t>
  </si>
  <si>
    <t>World Bank</t>
  </si>
  <si>
    <t xml:space="preserve">Growth at </t>
  </si>
  <si>
    <t>World Bank GDP</t>
  </si>
  <si>
    <t>Cost to create 2 new companies =</t>
  </si>
  <si>
    <t>Interest Rate</t>
  </si>
  <si>
    <t>Improvement</t>
  </si>
  <si>
    <t>Growth per year</t>
  </si>
  <si>
    <t>Angel City 5 GDP (2080)</t>
  </si>
  <si>
    <t>World Bank GDP (2080)</t>
  </si>
  <si>
    <t>(If at 3%)</t>
  </si>
  <si>
    <t>Kenya</t>
  </si>
  <si>
    <t>Tunisia</t>
  </si>
  <si>
    <t>%</t>
  </si>
  <si>
    <t>Cost of Manufacturing</t>
  </si>
  <si>
    <t>TWF (The Window Factory)</t>
  </si>
  <si>
    <t>Retail Price</t>
  </si>
  <si>
    <t>To Non S-World</t>
  </si>
  <si>
    <t>Total Ťender Cost 4 years</t>
  </si>
  <si>
    <t>To  Ťenders</t>
  </si>
  <si>
    <t xml:space="preserve"> Ťender Cost </t>
  </si>
  <si>
    <t>Ťender Profit for TWF per window</t>
  </si>
  <si>
    <t>Ťender Profit over 4 years</t>
  </si>
  <si>
    <t>Divide by 4 Years</t>
  </si>
  <si>
    <t>Ťender Profit in 1 Year (2023)</t>
  </si>
  <si>
    <t>Other Orders (Non Ťender)</t>
  </si>
  <si>
    <t>Non S-World including Government</t>
  </si>
  <si>
    <t>Other Ťenders</t>
  </si>
  <si>
    <t>Orders from Retail &amp; Municipal Ť</t>
  </si>
  <si>
    <t>1 D5 Cube</t>
  </si>
  <si>
    <t>POP Point:</t>
  </si>
  <si>
    <t>POP Investment:</t>
  </si>
  <si>
    <t>(The 5th Cubic Financial Dimension)</t>
  </si>
  <si>
    <t>Cost to Manufacture (before salary)</t>
  </si>
  <si>
    <t>$10 Million year</t>
  </si>
  <si>
    <t>POP Investment</t>
  </si>
  <si>
    <t>Profit for TWF After POP</t>
  </si>
  <si>
    <t>Property Payments</t>
  </si>
  <si>
    <t>Spent on Housing</t>
  </si>
  <si>
    <t xml:space="preserve">One pays </t>
  </si>
  <si>
    <t>Cost to Build</t>
  </si>
  <si>
    <t>Build / Pay</t>
  </si>
  <si>
    <t>Cost to 'R'</t>
  </si>
  <si>
    <t>if bank is not in MZ Network</t>
  </si>
  <si>
    <t>Try for interest free for first 4 years deal</t>
  </si>
  <si>
    <t>Annual Income:</t>
  </si>
  <si>
    <t>After 2 years at the above values</t>
  </si>
  <si>
    <t>Standard Valuation on Shareholder Profit</t>
  </si>
  <si>
    <t>Accelerated due to Convergence</t>
  </si>
  <si>
    <t>Into New or Existing Bond</t>
  </si>
  <si>
    <t>16 Years at 3% Interest</t>
  </si>
  <si>
    <t>Of Cost of Sale is Profit</t>
  </si>
  <si>
    <t>2023 Investment</t>
  </si>
  <si>
    <t xml:space="preserve">Plus initial investment </t>
  </si>
  <si>
    <t>Different Small Companies of about 4 personnel each</t>
  </si>
  <si>
    <t>Aluminium Factory Process</t>
  </si>
  <si>
    <t>Counts as Assets for S-World Bond</t>
  </si>
  <si>
    <t xml:space="preserve">Other Ťenders Cost </t>
  </si>
  <si>
    <t>Cost of All Ťenders</t>
  </si>
  <si>
    <t>RES TARGET 2</t>
  </si>
  <si>
    <t>RES TARGET 1</t>
  </si>
  <si>
    <t>Ťender Companies</t>
  </si>
  <si>
    <t>Land &amp; Assets</t>
  </si>
  <si>
    <t>So if 'R' = $3 billion</t>
  </si>
  <si>
    <t>75% of S-World Bonds of $4b, $2b in Real Estate and Assets, $2b on new companies, of which 50% of cost is paid to one or another S-World UCS MZ-Network company.</t>
  </si>
  <si>
    <t>(Original TWF Income?)</t>
  </si>
  <si>
    <t>POP &amp; Reinvestment</t>
  </si>
  <si>
    <t>Property Development</t>
  </si>
  <si>
    <t>ROI for Top Tear Equity Holder bassed on the investment above</t>
  </si>
  <si>
    <t>Network Cities</t>
  </si>
  <si>
    <t>Focus on creating Solar Products</t>
  </si>
  <si>
    <t xml:space="preserve">Focus on creating Construction Companies </t>
  </si>
  <si>
    <t xml:space="preserve">RES 1 </t>
  </si>
  <si>
    <t xml:space="preserve">All Suppliers </t>
  </si>
  <si>
    <t>Ťender Companies:</t>
  </si>
  <si>
    <t xml:space="preserve">(R) (initial Input Revenue) </t>
  </si>
  <si>
    <t>TWF UCS-MZ™ Ťenders</t>
  </si>
  <si>
    <t>From Spreadsheet</t>
  </si>
  <si>
    <t>RES</t>
  </si>
  <si>
    <t>The GDP Game see's biggest Growth in history by a factor of 10, and the world wants to buy S-World Bonds, goods and property from the MZ-Network</t>
  </si>
  <si>
    <t>Capital Sold for $2billion, 2 square mile plots, 1 for California, the other for Malawi, California pays for Malawi development for government</t>
  </si>
  <si>
    <t>2nd, 3rd and 4th Square Mile Sold</t>
  </si>
  <si>
    <t>9th to 16th Square Mile Sold</t>
  </si>
  <si>
    <t>5th to 8th Square Mile Sold</t>
  </si>
  <si>
    <t>California POP</t>
  </si>
  <si>
    <t>Other Virtual Network POP</t>
  </si>
  <si>
    <t>Super Projects</t>
  </si>
  <si>
    <t>S-World VSN™ MLS</t>
  </si>
  <si>
    <t>Probability</t>
  </si>
  <si>
    <t>Medivillas</t>
  </si>
  <si>
    <t>Attractions</t>
  </si>
  <si>
    <t>Exports</t>
  </si>
  <si>
    <t>S-World Bonds</t>
  </si>
  <si>
    <t>Philanthropic S-World Bonds</t>
  </si>
  <si>
    <t>Super S-World Bonds</t>
  </si>
  <si>
    <t>S-World UCS™ MZ-Network Simulation</t>
  </si>
  <si>
    <t>Super Project's S-World TBS™ VSN™ &amp; UCS™</t>
  </si>
  <si>
    <t>Bond Type</t>
  </si>
  <si>
    <t>Inverted In…</t>
  </si>
  <si>
    <t>Company Type</t>
  </si>
  <si>
    <t>Produces</t>
  </si>
  <si>
    <t>Focus</t>
  </si>
  <si>
    <t xml:space="preserve">Super Project Development </t>
  </si>
  <si>
    <t>No #</t>
  </si>
  <si>
    <t>TBS™</t>
  </si>
  <si>
    <t>VSN™ &amp; VBN™</t>
  </si>
  <si>
    <t>UCS™</t>
  </si>
  <si>
    <t>Check</t>
  </si>
  <si>
    <t>Cost of 1 S-World Bond or Super Bond</t>
  </si>
  <si>
    <t>Income Only</t>
  </si>
  <si>
    <t>From Tab 'POP Dimensions'</t>
  </si>
  <si>
    <t>D8 x 4</t>
  </si>
  <si>
    <t>Complete S-World VSN™ &amp; VBN™ Design for the MZ Network, chosen from 1 million different users games, significant commission given to users who's games were used (over $10 million)</t>
  </si>
  <si>
    <t>Development VSN™ &amp; VBN™</t>
  </si>
  <si>
    <t>Investment</t>
  </si>
  <si>
    <t>Investment &amp; Income</t>
  </si>
  <si>
    <t>Investment Only</t>
  </si>
  <si>
    <t>Companies that make Industry</t>
  </si>
  <si>
    <t>For The People' (FTP) Tax Rate agreed</t>
  </si>
  <si>
    <t>Providing Malawi Electricity</t>
  </si>
  <si>
    <t>invented in Malawi Network</t>
  </si>
  <si>
    <t>Working Version of the TBS™ Created - Villa Secrets California and Experience Africa Launched</t>
  </si>
  <si>
    <t xml:space="preserve">TBS™ Improved and integrated to VSN™ and UCS™ | Priority changes to UCS™ MZ-Network which we desire to convince Audacious Ideas team to invest $100 million </t>
  </si>
  <si>
    <t>S-World VSN™ creates the map for possible MX (Malawi and Zimbabwe) developments and lets users build the City in a Sim CITY like game but with superior Graphics</t>
  </si>
  <si>
    <t>S-World UCS™ creates games for 256 different niches within the MZ-Network | MMO Game of both VSN™ and UCS™ increases in popularity</t>
  </si>
  <si>
    <t>S-World TBS™, VSN™, VBN™ &amp; UCS™ start to challenge the MLS for dominance (If this battle is won, S-World takes 1% of most US property sales (more than 50%)</t>
  </si>
  <si>
    <t xml:space="preserve">S-World UCS™ creates games for 512 different niches within the MZ-Network </t>
  </si>
  <si>
    <t>Audacious Ideas S-World Bonds</t>
  </si>
  <si>
    <t>VSN™ &amp; VBN become priority | S-World Films starts to create films and series about S-World | S-World UCS™ tells of a convincing story and attracts $650 million in S-World Bonds</t>
  </si>
  <si>
    <t>S-World UCS™ creates games for 128 different niches within the MZ-Network, MMO Game sits on top of the VSN™ Framework and both are marketed globally, including the making of films and series and many documentaries</t>
  </si>
  <si>
    <t>How Much Tax?</t>
  </si>
  <si>
    <t>Total Tax</t>
  </si>
  <si>
    <t xml:space="preserve">Amount of </t>
  </si>
  <si>
    <t xml:space="preserve"> Ťenders &amp; Non  Ťenders</t>
  </si>
  <si>
    <t>Malawi GDP</t>
  </si>
  <si>
    <t>Tax Yield</t>
  </si>
  <si>
    <t>Total Profit for TWF in 2024</t>
  </si>
  <si>
    <t>Cost of Bond in 2024</t>
  </si>
  <si>
    <t>Value of Bond at the end of 2024</t>
  </si>
  <si>
    <t>Total Profit Reinvested</t>
  </si>
  <si>
    <t>Residential Villas &amp; Apartments</t>
  </si>
  <si>
    <t>“The notion that this is the smallest constituent is paradoxically not at odds with the statement that it may also be the whole economy.”</t>
  </si>
  <si>
    <t>The Green Symmetry</t>
  </si>
  <si>
    <t>The Hawking Green Equation</t>
  </si>
  <si>
    <t>All Non Ťender Profit:</t>
  </si>
  <si>
    <t>Spent on Family S-Welfare/Education</t>
  </si>
  <si>
    <t>Take Home before Tax (At 5% we expect)</t>
  </si>
  <si>
    <t>Malawi Per Capita</t>
  </si>
  <si>
    <t>https://www.investopedia.com/updates/purchasing-power-parity-ppp/</t>
  </si>
  <si>
    <t>https://tradingeconomics.com/malawi/gdp-per-capita-ppp</t>
  </si>
  <si>
    <t>https://tradingeconomics.com/malawi/gdp-per-capita</t>
  </si>
  <si>
    <t>https://www.ceicdata.com/en/indicator/malawi/gdp-per-capita</t>
  </si>
  <si>
    <t>2006 to 2016 Graph</t>
  </si>
  <si>
    <t>Wrong Uses PPP:</t>
  </si>
  <si>
    <t>Purchasing Power Parity</t>
  </si>
  <si>
    <t>http://mwnation.com/malawi-has-worlds-lowest-income-per-person-report/</t>
  </si>
  <si>
    <t>https://en.wikipedia.org/wiki/List_of_countries_by_GDP_(nominal)_per_capita</t>
  </si>
  <si>
    <t>IMF 2017</t>
  </si>
  <si>
    <t>World Bank 2016</t>
  </si>
  <si>
    <t>United Nations 2016</t>
  </si>
  <si>
    <t>All Five:</t>
  </si>
  <si>
    <t>Lowest Paid Spartan Disposable Income:</t>
  </si>
  <si>
    <t>Lowest take-home is more than double the minimum wage</t>
  </si>
  <si>
    <t>The $481 from Trading Economics seems correct</t>
  </si>
  <si>
    <t>Average GDP Per Capita in Malawi:</t>
  </si>
  <si>
    <t>Plus they spend double this on their own home</t>
  </si>
  <si>
    <t>Average Spartan Takes Home this times more than the average Malawi Citizen:</t>
  </si>
  <si>
    <t>Average Income vs Lowest Spartan Average Income:</t>
  </si>
  <si>
    <t>And provide for 8 others:</t>
  </si>
  <si>
    <t>This Amount Each:</t>
  </si>
  <si>
    <t>Malawi Per Capita:</t>
  </si>
  <si>
    <t>Annual Income Per Capita (Each)</t>
  </si>
  <si>
    <t>Personnel (Spartan Contracts)</t>
  </si>
  <si>
    <t>Spent on Welfare</t>
  </si>
  <si>
    <t>Deduct for Municipal Spartans:</t>
  </si>
  <si>
    <t>(Can be 4 or 5)</t>
  </si>
  <si>
    <t>Ťender Companies in 2024 (From 'RES 1 SPIN-8 (2024)' Spreadsheet)</t>
  </si>
  <si>
    <t>Small Ťender Companies in the TWF Network</t>
  </si>
  <si>
    <t>Total Small Ťender Companies</t>
  </si>
  <si>
    <t>Double in 4 years</t>
  </si>
  <si>
    <t>Double Again in another 4 years</t>
  </si>
  <si>
    <t>Family Members Welfare</t>
  </si>
  <si>
    <t>Same</t>
  </si>
  <si>
    <t>Desire to invest created by 'The GDP Game':</t>
  </si>
  <si>
    <t>B-POP Grand Networks in other countries with low capita GDP</t>
  </si>
  <si>
    <t>People in Full Time Education (low pay, but more than per capita average)</t>
  </si>
  <si>
    <t>New Luxury Social Houses Built</t>
  </si>
  <si>
    <t>TWF (The Window Factory) Personnel (TWF UCS-MZ™ Ťenders)</t>
  </si>
  <si>
    <t>Average Small Ťender Company Personnel</t>
  </si>
  <si>
    <t>Deduct 50% for later start of some Grand Networks</t>
  </si>
  <si>
    <t>TOTAL COMPANIES:</t>
  </si>
  <si>
    <t>Double for B-POP Networks in other locations (like Greece &amp; California)</t>
  </si>
  <si>
    <t>Plus Network Cities</t>
  </si>
  <si>
    <t>Plus RES No Tax Spin 12 to 24</t>
  </si>
  <si>
    <t>Plus Angel Cities</t>
  </si>
  <si>
    <t>Plus Science Cities</t>
  </si>
  <si>
    <t>Cash Flow After Ťenders</t>
  </si>
  <si>
    <t>Provided by S-World</t>
  </si>
  <si>
    <t>Sales, Accounting, Marketing, Software, Advertising…</t>
  </si>
  <si>
    <t>Export as Trade Deal</t>
  </si>
  <si>
    <t>Residential Ťender Cost 1 Year</t>
  </si>
  <si>
    <t>POP Dimension</t>
  </si>
  <si>
    <t>Residential Ťenders</t>
  </si>
  <si>
    <t xml:space="preserve">This may see an equality split </t>
  </si>
  <si>
    <t>Share Holder Discretionary Cash Flow</t>
  </si>
  <si>
    <t>New Luxury Social Houses Built ??</t>
  </si>
  <si>
    <t>Or</t>
  </si>
  <si>
    <t>Well constructed Social Houses</t>
  </si>
  <si>
    <t xml:space="preserve">Total Social Housing </t>
  </si>
  <si>
    <t>Annual Salary</t>
  </si>
  <si>
    <t>Value of Land and Industry in 2024</t>
  </si>
  <si>
    <t>Value before Tax</t>
  </si>
  <si>
    <t>The Window Factory 2024</t>
  </si>
  <si>
    <t>Source Holger Friedrichsen (Africa's leading business broker)</t>
  </si>
  <si>
    <t>An Accounting Theory of Everything</t>
  </si>
  <si>
    <r>
      <t xml:space="preserve">S-World Bonds </t>
    </r>
    <r>
      <rPr>
        <i/>
        <sz val="16"/>
        <rFont val="Times New Roman"/>
        <family val="1"/>
      </rPr>
      <t>and Ťenders</t>
    </r>
  </si>
  <si>
    <t>A Theory of Greater Equality</t>
  </si>
  <si>
    <t>2016 to 2024</t>
  </si>
  <si>
    <t>Years</t>
  </si>
  <si>
    <t>GDP Rises per year:</t>
  </si>
  <si>
    <t>Previous World Record GDP Rise</t>
  </si>
  <si>
    <t>MX-Network Malawi Beats World Record:</t>
  </si>
  <si>
    <t xml:space="preserve">Plus Network Credits </t>
  </si>
  <si>
    <t>Increase in GDP:</t>
  </si>
  <si>
    <t>In Manufacturing and mining sector</t>
  </si>
  <si>
    <t>The RES Equation</t>
  </si>
  <si>
    <t>Financial Equivalence</t>
  </si>
  <si>
    <t>The GDP GAME</t>
  </si>
  <si>
    <t>s</t>
  </si>
  <si>
    <t>TWF Revenue</t>
  </si>
  <si>
    <t>Japan 1965 to 1970</t>
  </si>
  <si>
    <t xml:space="preserve"> Ťender Cos.</t>
  </si>
  <si>
    <t>The S-World UCS™ MZ-Network (Malawi, Zimbabwe)</t>
  </si>
  <si>
    <t>These working are for Malawi leading to 'The GDP game' and the other Networks created by Malawi's unprecedented growth.</t>
  </si>
  <si>
    <t>Ťender Companies in Malawi Network 2024</t>
  </si>
  <si>
    <t>S-World Companies in Malawi Network 2024</t>
  </si>
  <si>
    <t>20% for Municipal Companies</t>
  </si>
  <si>
    <t>All Industry, Business, &amp; Municipal</t>
  </si>
  <si>
    <t>How Many S-World Companies &amp; Jobs?</t>
  </si>
  <si>
    <t>Now, PLAY THE GDP GAME</t>
  </si>
  <si>
    <t>Double for Virtual Networks (Service Sector in Rich Countries)</t>
  </si>
  <si>
    <t>Family Members' Welfare</t>
  </si>
  <si>
    <t>People in Full Time Education (low pay but more than per capita average)</t>
  </si>
  <si>
    <t>New Luxury Social Houses Built at half the cost</t>
  </si>
  <si>
    <t>32 Low Capita Grand Networks by 2032:</t>
  </si>
  <si>
    <t>Effectively We Have Multiplied Malawi Network by:</t>
  </si>
  <si>
    <t>(Assumes initiate start up)</t>
  </si>
  <si>
    <t>S-World Bonds from Land and  Industry to profit-making companies</t>
  </si>
  <si>
    <t>A Loose Estimate of assigning S-World Bond Investment into one network of 16 smaller companies</t>
  </si>
  <si>
    <t xml:space="preserve">Doubles due to 50% of S-World Bond Spent on Infrastructure </t>
  </si>
  <si>
    <t xml:space="preserve">In New Assets Purchased, that we should expect to increase in much the same way the initial bonds have </t>
  </si>
  <si>
    <t xml:space="preserve">TWF Sale Value Based on Profit </t>
  </si>
  <si>
    <t>Add the Same for Zimbabwe</t>
  </si>
  <si>
    <t>Plus Appreciation on Land and Industry</t>
  </si>
  <si>
    <t>Plus Previous Purchases from Previous Profits</t>
  </si>
  <si>
    <t>Cost of Manufacturing a High Quality 3 Part Window</t>
  </si>
  <si>
    <t>Or a High Quality Glass Door</t>
  </si>
  <si>
    <t>Cost of Other</t>
  </si>
  <si>
    <t>Owns Premises and Industry</t>
  </si>
  <si>
    <t>Increased to Include Non Ťender Orders as Ťenders</t>
  </si>
  <si>
    <t>Orders from Commercial &amp; Industrial Ť</t>
  </si>
  <si>
    <t>Just Tenders</t>
  </si>
  <si>
    <t>Total Profit Minus POP Point</t>
  </si>
  <si>
    <t>(New Investment into Assets and Companies)</t>
  </si>
  <si>
    <t>New Assets to Register as part of initial bond</t>
  </si>
  <si>
    <t>In this case, we should not apply PPP</t>
  </si>
  <si>
    <t>Cost of Homes Plus Interest</t>
  </si>
  <si>
    <t>Value Before Tax</t>
  </si>
  <si>
    <t>Shareholder Discretionary Cash Flow</t>
  </si>
  <si>
    <t>Accelerated Due to Convergence</t>
  </si>
  <si>
    <t>Malawi has world's lowest income per person</t>
  </si>
  <si>
    <t>50% for family and 50% for those in full time education, and in particular farm hands that lost their jobs</t>
  </si>
  <si>
    <t>Spins:</t>
  </si>
  <si>
    <t>Tax:</t>
  </si>
  <si>
    <t>Year:</t>
  </si>
  <si>
    <t>5% Cash</t>
  </si>
  <si>
    <t>E</t>
  </si>
  <si>
    <t>Roll Over Revenue</t>
  </si>
  <si>
    <t>Cost of Guarantee for non Ťenders</t>
  </si>
  <si>
    <t>Cost of TWF or 1 standard NZ-Network Ťender Company</t>
  </si>
  <si>
    <t>RES TARGET 3</t>
  </si>
  <si>
    <t>Total for</t>
  </si>
  <si>
    <t>No of Ťender co's:</t>
  </si>
  <si>
    <t>TWF Revenue:</t>
  </si>
  <si>
    <t>Global GDP in 2016 World Bank</t>
  </si>
  <si>
    <t>For each 1 Ťender companies, 2 non Ťender company will be created (from Restaurants to Graphic Designers)</t>
  </si>
  <si>
    <t>Total to add to GDP</t>
  </si>
  <si>
    <t>Total Malawi GDP</t>
  </si>
  <si>
    <t>Money From Abroad</t>
  </si>
  <si>
    <t>Money from MZ Network</t>
  </si>
  <si>
    <t>1 Bond</t>
  </si>
  <si>
    <t>Return</t>
  </si>
  <si>
    <t>S-World Phase 2 Bonds:</t>
  </si>
  <si>
    <t>S-World Phase 1 Bonds:</t>
  </si>
  <si>
    <t xml:space="preserve">Annual </t>
  </si>
  <si>
    <t>New</t>
  </si>
  <si>
    <t>SET</t>
  </si>
  <si>
    <t>D9 X 2</t>
  </si>
  <si>
    <t>Malawi Grand Network in 2024 is expected to make</t>
  </si>
  <si>
    <t>Property</t>
  </si>
  <si>
    <t>RES TARGET 4</t>
  </si>
  <si>
    <t>Property (Residential &amp; Commercial)</t>
  </si>
  <si>
    <t>2025 (R) Revenue Not from Bonds</t>
  </si>
  <si>
    <t>Total Investment</t>
  </si>
  <si>
    <t>RES TARGET 5</t>
  </si>
  <si>
    <t>RES TARGET 6</t>
  </si>
  <si>
    <t>RES TARGET 7</t>
  </si>
  <si>
    <t>RES TARGET 8</t>
  </si>
  <si>
    <t>TARGET</t>
  </si>
  <si>
    <t xml:space="preserve">x larger gain than Manufacturing in Japan 1965 to 1970 </t>
  </si>
  <si>
    <t>0r</t>
  </si>
  <si>
    <t>New Mega Luxury Social Houses Built</t>
  </si>
  <si>
    <t xml:space="preserve">Well constructed Social Houses: </t>
  </si>
  <si>
    <t xml:space="preserve">Luxury Social Houses: </t>
  </si>
  <si>
    <t>Total Social Houses:</t>
  </si>
  <si>
    <t>Increase by</t>
  </si>
  <si>
    <t>Growth</t>
  </si>
  <si>
    <t>2016 Google/World Bank</t>
  </si>
  <si>
    <t>Global GDP:</t>
  </si>
  <si>
    <t>Football League</t>
  </si>
  <si>
    <t>clubs</t>
  </si>
  <si>
    <t>Players</t>
  </si>
  <si>
    <t xml:space="preserve">Coaches </t>
  </si>
  <si>
    <t>Staff</t>
  </si>
  <si>
    <t>Salary</t>
  </si>
  <si>
    <t xml:space="preserve">Part </t>
  </si>
  <si>
    <t>Time</t>
  </si>
  <si>
    <t xml:space="preserve">Global GDP </t>
  </si>
  <si>
    <t>Playing To Win</t>
  </si>
  <si>
    <t>Network City (MARS Resort 1 plan)</t>
  </si>
  <si>
    <t>Et al (Other)</t>
  </si>
  <si>
    <t>From MARS RESORT 1. (Sell square km of commercially developed land to countries and companies, to be a part of Network City)</t>
  </si>
  <si>
    <t>The David A Moss Cashflow to GDP Variable</t>
  </si>
  <si>
    <t>Rate of Interest</t>
  </si>
  <si>
    <t>Network Cites</t>
  </si>
  <si>
    <t>Annual Increase</t>
  </si>
  <si>
    <t>3b</t>
  </si>
  <si>
    <t>Real Estate &amp; Infrastuctre</t>
  </si>
  <si>
    <t>Medi Villas &amp; Apartments</t>
  </si>
  <si>
    <t>Apartments</t>
  </si>
  <si>
    <t>Infrastucture</t>
  </si>
  <si>
    <t>4b</t>
  </si>
  <si>
    <t>4c</t>
  </si>
  <si>
    <t>4e</t>
  </si>
  <si>
    <t>4f</t>
  </si>
  <si>
    <t>4g</t>
  </si>
  <si>
    <t>4h</t>
  </si>
  <si>
    <t xml:space="preserve">TOTAL </t>
  </si>
  <si>
    <t>VS California POP Invest</t>
  </si>
  <si>
    <t>VS Other Virual Network POP</t>
  </si>
  <si>
    <t>3c</t>
  </si>
  <si>
    <t xml:space="preserve">S-World TBS™ </t>
  </si>
  <si>
    <t xml:space="preserve">S-World VSN™ </t>
  </si>
  <si>
    <t xml:space="preserve">S-World UCS™ </t>
  </si>
  <si>
    <t>Tourism &amp; Tourist Spending</t>
  </si>
  <si>
    <t>The Sienna Equilibrium</t>
  </si>
  <si>
    <t>Nobel Presentation</t>
  </si>
  <si>
    <t>RES 'A More Creative Capitalism'</t>
  </si>
  <si>
    <t>The GDP Game</t>
  </si>
  <si>
    <t>Each Spin dollar is relative to time, so dollars per day are the same throughout each spin.</t>
  </si>
  <si>
    <t>Companies Income</t>
  </si>
  <si>
    <t>David A. Moss Bank Money Multiplier</t>
  </si>
  <si>
    <t>Initial Investment</t>
  </si>
  <si>
    <t>: Sector Number</t>
  </si>
  <si>
    <t>R (Revenue / Turnover)</t>
  </si>
  <si>
    <t>#</t>
  </si>
  <si>
    <t>Company / Industry Type</t>
  </si>
  <si>
    <t># of</t>
  </si>
  <si>
    <t>R of all in Category</t>
  </si>
  <si>
    <t>Personnel per Category</t>
  </si>
  <si>
    <t>0A</t>
  </si>
  <si>
    <t>Labour</t>
  </si>
  <si>
    <t>0B</t>
  </si>
  <si>
    <t>Entertainment</t>
  </si>
  <si>
    <t>Property Developer &amp; Labour</t>
  </si>
  <si>
    <t>Building Supplies (Manufactured)</t>
  </si>
  <si>
    <t>Interiors / Shop Fitting / Kitchens / Bathrooms</t>
  </si>
  <si>
    <t xml:space="preserve">Electronics / Computers </t>
  </si>
  <si>
    <t xml:space="preserve">Financial Services </t>
  </si>
  <si>
    <t>Tesla Africa &amp; Other Transport</t>
  </si>
  <si>
    <t>Education / University / Operations Centre</t>
  </si>
  <si>
    <t>Industry (Chemicals, Engineering, Other)</t>
  </si>
  <si>
    <t>Packaging / Warehousing / Waist</t>
  </si>
  <si>
    <t>Food, Agriculture &amp; Water</t>
  </si>
  <si>
    <t>Pharmaceuticals &amp; Healthcare</t>
  </si>
  <si>
    <t>General Goods (Malls &amp; Stores) &amp; Eating Out</t>
  </si>
  <si>
    <t>Film, Luxury's, Concierge &amp; Brand Malawi</t>
  </si>
  <si>
    <t>Media / Internet / News / TV / Sport / Ads</t>
  </si>
  <si>
    <t>Travel, Real Estate &amp; Vacation Rentals</t>
  </si>
  <si>
    <t>TBS™ | VSN™ | UCS™ | Ŝ | Ѧ (Soft. &amp; Edu.)</t>
  </si>
  <si>
    <t>TOTAL:</t>
  </si>
  <si>
    <t>Max:</t>
  </si>
  <si>
    <t>Municipal Personnel</t>
  </si>
  <si>
    <t>Infrastructure Income</t>
  </si>
  <si>
    <t>Forests &amp; Environmental</t>
  </si>
  <si>
    <t>: Number of Companies</t>
  </si>
  <si>
    <t>SURH's (Super University Research Hospitals)</t>
  </si>
  <si>
    <t>Internet, Solar Arrays &amp; Installation</t>
  </si>
  <si>
    <t xml:space="preserve">Environmental, Lakes, Hills, Forests &amp; Safaris </t>
  </si>
  <si>
    <t xml:space="preserve">Building Industry / Factories / Machinery </t>
  </si>
  <si>
    <t>Roads, Highways, Mass Transit</t>
  </si>
  <si>
    <t>Waterworks, Pipes and Sanitation</t>
  </si>
  <si>
    <t>Mining, Quarries &amp; from the Ground</t>
  </si>
  <si>
    <t>University, Marina &amp; Mall Infrastructure</t>
  </si>
  <si>
    <t>Government Income</t>
  </si>
  <si>
    <t>Network City Embassy / Estate</t>
  </si>
  <si>
    <t>Solar &amp; Internet</t>
  </si>
  <si>
    <t>Healthcare / Pharmaceuticals / Food</t>
  </si>
  <si>
    <t>Sports &amp; Education</t>
  </si>
  <si>
    <t>Land, Assets &amp; Other:</t>
  </si>
  <si>
    <t>Companies (Buy or Merge)</t>
  </si>
  <si>
    <t>Assets / Recourses</t>
  </si>
  <si>
    <t xml:space="preserve">Total Municipal Personnel: </t>
  </si>
  <si>
    <t>Total Company Personnel:</t>
  </si>
  <si>
    <t>TOTAL PERSONNEL:</t>
  </si>
  <si>
    <t>Total Sports</t>
  </si>
  <si>
    <t xml:space="preserve">Total Education </t>
  </si>
  <si>
    <t xml:space="preserve">TOTAL PERSONNEL 2: </t>
  </si>
  <si>
    <t>Comparative Advantage</t>
  </si>
  <si>
    <t>Trade for</t>
  </si>
  <si>
    <t>Cost of Trade</t>
  </si>
  <si>
    <t>Adds to Output</t>
  </si>
  <si>
    <t>Robotics</t>
  </si>
  <si>
    <t>Computer Components</t>
  </si>
  <si>
    <t>Solar Array Components</t>
  </si>
  <si>
    <t>Create Industry Components</t>
  </si>
  <si>
    <t>Heavy Machinery, Vehicles &amp; Cranes</t>
  </si>
  <si>
    <t>Medical Technology</t>
  </si>
  <si>
    <t>Receive</t>
  </si>
  <si>
    <t>NETWORK CITY</t>
  </si>
  <si>
    <t>Divide by Countries</t>
  </si>
  <si>
    <t>Embassy</t>
  </si>
  <si>
    <t>Commercial Real Estate</t>
  </si>
  <si>
    <t>Municipal</t>
  </si>
  <si>
    <t>Residential Real Estate</t>
  </si>
  <si>
    <t>MALAWI GRAND NETWORKS</t>
  </si>
  <si>
    <t>Trade Per Country</t>
  </si>
  <si>
    <t xml:space="preserve">Output: </t>
  </si>
  <si>
    <t>End of Controller</t>
  </si>
  <si>
    <t>Start of Sector / Company Turnover Goes To?</t>
  </si>
  <si>
    <t>Amount</t>
  </si>
  <si>
    <t>Sector</t>
  </si>
  <si>
    <t xml:space="preserve">E After </t>
  </si>
  <si>
    <t>Initial Payment</t>
  </si>
  <si>
    <t>Companies</t>
  </si>
  <si>
    <t>Turnover After 'E'</t>
  </si>
  <si>
    <t>Cash Flow</t>
  </si>
  <si>
    <t>Cash Flow Payment</t>
  </si>
  <si>
    <t>of</t>
  </si>
  <si>
    <t>Revenue / Turnover</t>
  </si>
  <si>
    <t>After 'E'</t>
  </si>
  <si>
    <t>Payment Split</t>
  </si>
  <si>
    <t>Per Sector</t>
  </si>
  <si>
    <t>&amp; * Companies</t>
  </si>
  <si>
    <t>Payment</t>
  </si>
  <si>
    <t xml:space="preserve">Of </t>
  </si>
  <si>
    <t>Recipient</t>
  </si>
  <si>
    <t>Number</t>
  </si>
  <si>
    <t>Deduction</t>
  </si>
  <si>
    <t>To Sector</t>
  </si>
  <si>
    <t>Output from Cashflow</t>
  </si>
  <si>
    <t>Machinery (Farm, Infrastructure)</t>
  </si>
  <si>
    <t>Turnover B4 'E'</t>
  </si>
  <si>
    <t>Spending Category</t>
  </si>
  <si>
    <t>Turnover of</t>
  </si>
  <si>
    <t>Turnover Recipient</t>
  </si>
  <si>
    <t>Output 100%</t>
  </si>
  <si>
    <t>Output 75%</t>
  </si>
  <si>
    <t>Output 50%</t>
  </si>
  <si>
    <t>Output 25%</t>
  </si>
  <si>
    <t>Output 0%</t>
  </si>
  <si>
    <t xml:space="preserve">Labour: </t>
  </si>
  <si>
    <t>Food</t>
  </si>
  <si>
    <t>&gt;</t>
  </si>
  <si>
    <t>Housing</t>
  </si>
  <si>
    <t>Tesla Africa</t>
  </si>
  <si>
    <t xml:space="preserve">Building Supplies (Manufactured): </t>
  </si>
  <si>
    <t>Manufacturing</t>
  </si>
  <si>
    <t xml:space="preserve">Building Supplies (From the Ground): </t>
  </si>
  <si>
    <t>From Ground</t>
  </si>
  <si>
    <t xml:space="preserve">Mining, Quarries &amp; from the Ground: </t>
  </si>
  <si>
    <t xml:space="preserve">Land: </t>
  </si>
  <si>
    <t xml:space="preserve">Interiors / Shop Fitting / Kitchens / Bathrooms: </t>
  </si>
  <si>
    <t>Interiors / Kitchens / Bath.</t>
  </si>
  <si>
    <t>From the Ground</t>
  </si>
  <si>
    <t xml:space="preserve">Output %: </t>
  </si>
  <si>
    <t xml:space="preserve">Real Estate: </t>
  </si>
  <si>
    <t>Residential</t>
  </si>
  <si>
    <t>Commercial</t>
  </si>
  <si>
    <t>Industrial</t>
  </si>
  <si>
    <t>Government</t>
  </si>
  <si>
    <t>Network City</t>
  </si>
  <si>
    <t xml:space="preserve">Machinery Supplies: </t>
  </si>
  <si>
    <t xml:space="preserve">Machinery </t>
  </si>
  <si>
    <t xml:space="preserve">Industry (Chemicals, Engineering, Other): </t>
  </si>
  <si>
    <t>Packaging / Warehousing / Waist:</t>
  </si>
  <si>
    <t>Packaging &amp; Waist</t>
  </si>
  <si>
    <t>Goods bought at Malls, Marinas &amp; S-World Stores:</t>
  </si>
  <si>
    <t>General Goods</t>
  </si>
  <si>
    <t>Internet, Solar Arrays &amp; Installation:</t>
  </si>
  <si>
    <t>Solar Panels</t>
  </si>
  <si>
    <t xml:space="preserve">Electronics / Computers: </t>
  </si>
  <si>
    <t>Electronics</t>
  </si>
  <si>
    <t xml:space="preserve">Tesla Africa &amp; Other Transport: </t>
  </si>
  <si>
    <t>Tesla MZ's</t>
  </si>
  <si>
    <t xml:space="preserve">Film, Luxury's, Concierge &amp; Brand Malawi: </t>
  </si>
  <si>
    <t>Film, Travel &amp; Concierge</t>
  </si>
  <si>
    <t xml:space="preserve">Media / Internet / News / TV / Sport / Ads: </t>
  </si>
  <si>
    <t xml:space="preserve">Travel, Real Estate &amp; Vacation Rentals: </t>
  </si>
  <si>
    <t xml:space="preserve">Environmental, Lakes, Hills, Forests &amp; Safaris:  </t>
  </si>
  <si>
    <t xml:space="preserve">Waterworks, Pipes and Sanitation: </t>
  </si>
  <si>
    <t xml:space="preserve">Ѫ Profit / Investment by </t>
  </si>
  <si>
    <t xml:space="preserve">S-World Bond Owners : </t>
  </si>
  <si>
    <t>Factories / Industry</t>
  </si>
  <si>
    <t>Shop Fitting / Interiors</t>
  </si>
  <si>
    <t>Machinery</t>
  </si>
  <si>
    <t xml:space="preserve">Labour </t>
  </si>
  <si>
    <t>Add to Labour</t>
  </si>
  <si>
    <t>Ѫ Profit Share</t>
  </si>
  <si>
    <t>For Spartans (Personnel) :</t>
  </si>
  <si>
    <t>Paid in Network Credits</t>
  </si>
  <si>
    <t>Food &amp; Water</t>
  </si>
  <si>
    <t>Valid until Next Spin (S)</t>
  </si>
  <si>
    <t>Education</t>
  </si>
  <si>
    <t>Interiors &amp; Bathrooms</t>
  </si>
  <si>
    <t>Healthcare</t>
  </si>
  <si>
    <t>Financial Services</t>
  </si>
  <si>
    <t>Property Developer</t>
  </si>
  <si>
    <t xml:space="preserve">TBS™ | VSN™ | UCS™ | S-World Films </t>
  </si>
  <si>
    <t>TBS™ | VSN™ | UCS™ | Film</t>
  </si>
  <si>
    <t xml:space="preserve"> Ŝusskind Boost | Ѧ Peet Tent:  </t>
  </si>
  <si>
    <t xml:space="preserve"> Ŝusskind Boost | Ѧ Peet Tent </t>
  </si>
  <si>
    <t xml:space="preserve">Education / University / Operations Centre: </t>
  </si>
  <si>
    <t>Education / Operations Centre</t>
  </si>
  <si>
    <t xml:space="preserve">Healthcare: </t>
  </si>
  <si>
    <t xml:space="preserve">Financial Services: </t>
  </si>
  <si>
    <t>Pensions / S-World Bonds</t>
  </si>
  <si>
    <t xml:space="preserve">Other: </t>
  </si>
  <si>
    <t>Output %</t>
  </si>
  <si>
    <t xml:space="preserve">Total in Colum: </t>
  </si>
  <si>
    <t>Total in Colum</t>
  </si>
  <si>
    <t xml:space="preserve">Total Output: </t>
  </si>
  <si>
    <t>Total Output</t>
  </si>
  <si>
    <t xml:space="preserve">Div. by No of Companies: </t>
  </si>
  <si>
    <t xml:space="preserve">Div. by No of Companies </t>
  </si>
  <si>
    <t>Output per Company:</t>
  </si>
  <si>
    <t>Output per Company</t>
  </si>
  <si>
    <t xml:space="preserve">Total Sales: </t>
  </si>
  <si>
    <t>Total Sales</t>
  </si>
  <si>
    <t>Percentage in GDP</t>
  </si>
  <si>
    <t>Steel from China</t>
  </si>
  <si>
    <t>Customer Support from the Philippines</t>
  </si>
  <si>
    <t>Film from USA and UK</t>
  </si>
  <si>
    <t>System Architects from Silicon Valley</t>
  </si>
  <si>
    <t>Programmers from India</t>
  </si>
  <si>
    <t>Create: Batteries via Tesla Patent</t>
  </si>
  <si>
    <t xml:space="preserve">Tells us the percentage of Output created by RES (or Other) Cashflow </t>
  </si>
  <si>
    <t>Calculates DMCV: 'The David A Moss Cashflow to GDP Variable'</t>
  </si>
  <si>
    <t>Lake Malawi</t>
  </si>
  <si>
    <t>EU</t>
  </si>
  <si>
    <t>China</t>
  </si>
  <si>
    <t>Japan</t>
  </si>
  <si>
    <t>UK</t>
  </si>
  <si>
    <t xml:space="preserve">Germany </t>
  </si>
  <si>
    <t>Lithium Batteries</t>
  </si>
  <si>
    <t>Or Companies</t>
  </si>
  <si>
    <t>Robots</t>
  </si>
  <si>
    <t>Natural Stone &amp; Granite</t>
  </si>
  <si>
    <t>&lt;</t>
  </si>
  <si>
    <t>Biodegradable Plastics</t>
  </si>
  <si>
    <t>Orders</t>
  </si>
  <si>
    <t>Any in Africa</t>
  </si>
  <si>
    <t>Gaggenau or Miele</t>
  </si>
  <si>
    <t>Tesla M Series</t>
  </si>
  <si>
    <t>Web &amp; Software Engineers</t>
  </si>
  <si>
    <t>Building and Furnishing  items</t>
  </si>
  <si>
    <t>Solar</t>
  </si>
  <si>
    <t>Zimbabwe</t>
  </si>
  <si>
    <t>Travel</t>
  </si>
  <si>
    <t>We then by making 'an equal in equal our deal' with such a country effectively make Malawi no tariff trade to that country via Malawi</t>
  </si>
  <si>
    <t>Precision Parts</t>
  </si>
  <si>
    <t>Infrastructure Machines</t>
  </si>
  <si>
    <t>Cranes</t>
  </si>
  <si>
    <t>Steel</t>
  </si>
  <si>
    <t>Ai and Systems Architecture</t>
  </si>
  <si>
    <t>France</t>
  </si>
  <si>
    <t>Louis Vuitton Moët Hennessy</t>
  </si>
  <si>
    <t>https://qz.com/970211/with-the-acquisition-of-christian-dior-almost-all-of-luxury-fashion-including-gucci-and-hermes-is-now-owned-by-two-french-families-the-arnaults-and-pinaults/</t>
  </si>
  <si>
    <t>16 Countries</t>
  </si>
  <si>
    <t>Exor Ferrari</t>
  </si>
  <si>
    <t>Gulfstream Aerospace</t>
  </si>
  <si>
    <t>Airbus aircraft</t>
  </si>
  <si>
    <t xml:space="preserve">∏ &gt; </t>
  </si>
  <si>
    <t>Built</t>
  </si>
  <si>
    <t>&lt; ∏</t>
  </si>
  <si>
    <t>Total Exports</t>
  </si>
  <si>
    <t>Total Imports</t>
  </si>
  <si>
    <t>Robots (China)</t>
  </si>
  <si>
    <t>Satterlights</t>
  </si>
  <si>
    <t>And / or Christian Dior</t>
  </si>
  <si>
    <t>Italy</t>
  </si>
  <si>
    <t>&gt;&gt;&gt;</t>
  </si>
  <si>
    <t>&lt;&lt;&lt;</t>
  </si>
  <si>
    <t xml:space="preserve">END OF PRESENTATION </t>
  </si>
  <si>
    <t xml:space="preserve">DDCV </t>
  </si>
  <si>
    <t>(The David A Moss Cashflow to GDP Variable)</t>
  </si>
  <si>
    <t xml:space="preserve">Malawi Revenue </t>
  </si>
  <si>
    <t>Network City Income</t>
  </si>
  <si>
    <t>Southern African Trade (&amp; CA)</t>
  </si>
  <si>
    <t>Angel City 4</t>
  </si>
  <si>
    <t>Angel City 3</t>
  </si>
  <si>
    <t>Angel City 2</t>
  </si>
  <si>
    <t>Angel City 1</t>
  </si>
  <si>
    <t>Trade (Comparative Advantage)</t>
  </si>
  <si>
    <t>Real Estate Sales</t>
  </si>
  <si>
    <t>Bond Repaid</t>
  </si>
  <si>
    <t>Ťender</t>
  </si>
  <si>
    <t xml:space="preserve">Annual Cost </t>
  </si>
  <si>
    <t>Total needed for # Ťenders</t>
  </si>
  <si>
    <t>(R) per company on aggregate</t>
  </si>
  <si>
    <t>Half Initial Revenue:</t>
  </si>
  <si>
    <t>Other Half Initial Revenue</t>
  </si>
  <si>
    <t>(NC = Network Credit = $1)</t>
  </si>
  <si>
    <t>Interest on Bonds paid as NC's:</t>
  </si>
  <si>
    <t>Government Income 1:</t>
  </si>
  <si>
    <t>Government Income 2:</t>
  </si>
  <si>
    <t>Government Income 3:</t>
  </si>
  <si>
    <t>Local Spending:</t>
  </si>
  <si>
    <t>Non Ťender Companies:</t>
  </si>
  <si>
    <t>Government Income 4:</t>
  </si>
  <si>
    <t>The GDP GAME 2</t>
  </si>
  <si>
    <t xml:space="preserve">Comparative Advantage </t>
  </si>
  <si>
    <t>Electricity and Internet</t>
  </si>
  <si>
    <t>"A More Creative Capitalism"</t>
  </si>
  <si>
    <t>Government Income 5:</t>
  </si>
  <si>
    <t xml:space="preserve"> Attractions:</t>
  </si>
  <si>
    <t>Grand Network Infrastructure:</t>
  </si>
  <si>
    <t>Network City Infrastructure:</t>
  </si>
  <si>
    <t>Grand Network &amp; Network City Municipal:</t>
  </si>
  <si>
    <t>Tesla M Series:</t>
  </si>
  <si>
    <t>For every Ťender company there is a Non Ťender</t>
  </si>
  <si>
    <t>Education:</t>
  </si>
  <si>
    <t>Healthcare:</t>
  </si>
  <si>
    <t>Locations</t>
  </si>
  <si>
    <t>Creating 17 Football Leagues in 272 locations</t>
  </si>
  <si>
    <t>Personnel (Male, Female, Youth, Coaches, Managers and Referees)</t>
  </si>
  <si>
    <t>Electricity &amp; Related Infrastructure:</t>
  </si>
  <si>
    <t>911 Internet Access:</t>
  </si>
  <si>
    <t>Computers and Tablets for Education:</t>
  </si>
  <si>
    <t>Total Salary</t>
  </si>
  <si>
    <t>Other :</t>
  </si>
  <si>
    <t>Total :</t>
  </si>
  <si>
    <t>Roads, Sewers, Cables, Bridges etc.</t>
  </si>
  <si>
    <t>Ecological Measures:</t>
  </si>
  <si>
    <t>Sports Leagues:</t>
  </si>
  <si>
    <t>Luxury Goods &amp; Cars:</t>
  </si>
  <si>
    <t>NC's Per Ťender Co.</t>
  </si>
  <si>
    <t>S-World NC's Tax</t>
  </si>
  <si>
    <t xml:space="preserve">Government: </t>
  </si>
  <si>
    <t>PLUS</t>
  </si>
  <si>
    <t>EQUALS</t>
  </si>
  <si>
    <t>Total Cash Flow</t>
  </si>
  <si>
    <t>Increase in Government Cash Flow:</t>
  </si>
  <si>
    <t>Current Expected Cash Flow/Income from GDP:</t>
  </si>
  <si>
    <t>(NC</t>
  </si>
  <si>
    <t>Total Government Cash Flow</t>
  </si>
  <si>
    <t>Current Government Cash Flow:</t>
  </si>
  <si>
    <t>Expected from Tax alone</t>
  </si>
  <si>
    <t xml:space="preserve">Malawi needs to increase by this </t>
  </si>
  <si>
    <t>to own 1% of global GDP</t>
  </si>
  <si>
    <t xml:space="preserve">Interest </t>
  </si>
  <si>
    <t>To Repay Interest</t>
  </si>
  <si>
    <t>LOAN</t>
  </si>
  <si>
    <t>REPAY</t>
  </si>
  <si>
    <t xml:space="preserve">Allocated NC's </t>
  </si>
  <si>
    <t>Add same again  for infrastructure</t>
  </si>
  <si>
    <t>Increased Cash Flow including NC's from the S-World Network:</t>
  </si>
  <si>
    <t>The Moet Effect (Increases the Prestige of the Resort)</t>
  </si>
  <si>
    <t>Persons</t>
  </si>
  <si>
    <t>1 S-World Bond</t>
  </si>
  <si>
    <t>256 S-World Bonds</t>
  </si>
  <si>
    <t>Non Tenders</t>
  </si>
  <si>
    <t>50% of cashflow</t>
  </si>
  <si>
    <t>2024 Cashflow</t>
  </si>
  <si>
    <t>Main Totals Column</t>
  </si>
  <si>
    <t>Solar Arrays in 272 Locations</t>
  </si>
  <si>
    <t>Free Limited (911) Internet in 272 Locations</t>
  </si>
  <si>
    <t>Computers and Tablets for Education in 272 Locations</t>
  </si>
  <si>
    <t>S-World UCS™ Online Training and Classic Teaching</t>
  </si>
  <si>
    <t>Golf, Stadiums, Arts, Marinas, Little Hollywood et al.</t>
  </si>
  <si>
    <t>Ads to Existing Foundational Healthcare in 272 Locations</t>
  </si>
  <si>
    <t xml:space="preserve">For Tesla to Build a Manufacturing Plant in Lake Malawi </t>
  </si>
  <si>
    <t>Entertainment, Restaurants Sports, Goods &amp; Services</t>
  </si>
  <si>
    <t xml:space="preserve">Allocated to Government </t>
  </si>
  <si>
    <t>H</t>
  </si>
  <si>
    <t>The ŔÉŚ Equation</t>
  </si>
  <si>
    <t>ŔÉŚ</t>
  </si>
  <si>
    <t>Ŕevenue</t>
  </si>
  <si>
    <t>Éfficiency</t>
  </si>
  <si>
    <t>Śpin</t>
  </si>
  <si>
    <t>É</t>
  </si>
  <si>
    <t>Śpin 9 Roll-over</t>
  </si>
  <si>
    <t>Śpin 1</t>
  </si>
  <si>
    <t>Śpin 2</t>
  </si>
  <si>
    <t>Śpin 3</t>
  </si>
  <si>
    <t>Śpin 4</t>
  </si>
  <si>
    <t>Śpin 5</t>
  </si>
  <si>
    <t>Śpin 6</t>
  </si>
  <si>
    <t>Śpin 7</t>
  </si>
  <si>
    <t>Śpin 8</t>
  </si>
  <si>
    <t>8 Śpins</t>
  </si>
  <si>
    <t xml:space="preserve"> 'Ŕ' Revenue</t>
  </si>
  <si>
    <t>Roll’s Over as ‘Ŕ’ the following year</t>
  </si>
  <si>
    <t>Non ŔÉŚ Investment</t>
  </si>
  <si>
    <t xml:space="preserve">So if 'Ŕ' = </t>
  </si>
  <si>
    <t>Initial Revenue 'Ŕ'</t>
  </si>
  <si>
    <t>Śpins</t>
  </si>
  <si>
    <t>Man, Ai and Machine Made Lake and Hills</t>
  </si>
  <si>
    <t>64 1/4 km plots</t>
  </si>
  <si>
    <t>&amp; Retail</t>
  </si>
  <si>
    <t>Residential &amp; Retail</t>
  </si>
  <si>
    <t>Nature Reserve &amp; Marine Reserve</t>
  </si>
  <si>
    <t>15+16</t>
  </si>
  <si>
    <t>13+14</t>
  </si>
  <si>
    <t>12 x 1/2 KM Residential &amp; Retail</t>
  </si>
  <si>
    <t>1km =</t>
  </si>
  <si>
    <t>1/2 km =</t>
  </si>
  <si>
    <t>1/4 km =</t>
  </si>
  <si>
    <t>1/8 km =</t>
  </si>
  <si>
    <t>4 x 1/8 km private Islands</t>
  </si>
  <si>
    <t>3.25 km of Lake</t>
  </si>
  <si>
    <t>Except Private Islands</t>
  </si>
  <si>
    <t>Cost per beach and hills plot</t>
  </si>
  <si>
    <t>Marina</t>
  </si>
  <si>
    <t>Sold including the Surrounding Green Belt, thus average plot is over 1 KM2</t>
  </si>
  <si>
    <t>Infrastructure cost</t>
  </si>
  <si>
    <t>Embassy Retreat</t>
  </si>
  <si>
    <t>Residential Villas</t>
  </si>
  <si>
    <t>Residential Apartments</t>
  </si>
  <si>
    <t>Spent on development</t>
  </si>
  <si>
    <t>Spent on Land</t>
  </si>
  <si>
    <t xml:space="preserve">Total Ŕ Spending </t>
  </si>
  <si>
    <t>Cost per private Island</t>
  </si>
  <si>
    <t>Private Islands</t>
  </si>
  <si>
    <t>Per Year</t>
  </si>
  <si>
    <t>Beach Villas</t>
  </si>
  <si>
    <t>Villas on the Hills</t>
  </si>
  <si>
    <t>Lake view Apartments</t>
  </si>
  <si>
    <t>Medi Apartments</t>
  </si>
  <si>
    <t>Number of Properties</t>
  </si>
  <si>
    <t>Acre</t>
  </si>
  <si>
    <t>To</t>
  </si>
  <si>
    <t xml:space="preserve">Cost </t>
  </si>
  <si>
    <t>Grand Estate</t>
  </si>
  <si>
    <t>May be subsidized</t>
  </si>
  <si>
    <t>Comparative Advantage in Real Estate</t>
  </si>
  <si>
    <t>Residential Villas in beach and hills plot</t>
  </si>
  <si>
    <t>sq. ft</t>
  </si>
  <si>
    <t>Is Residential</t>
  </si>
  <si>
    <t>&lt; &lt; &lt;</t>
  </si>
  <si>
    <t>V</t>
  </si>
  <si>
    <t>Per Network City</t>
  </si>
  <si>
    <t>Villa Secrets</t>
  </si>
  <si>
    <t>S-World VSN™</t>
  </si>
  <si>
    <t>S-World Countries</t>
  </si>
  <si>
    <t>Other Countries</t>
  </si>
  <si>
    <t>Experience Africa</t>
  </si>
  <si>
    <t>An Island in Lake Malawi and / or a Lake and Hills Environment</t>
  </si>
  <si>
    <t>Protecting Wildlife, Building Fences, Re Populating et al.</t>
  </si>
  <si>
    <t>Security, Police, Fire fighters, Waste Disposal, and others</t>
  </si>
  <si>
    <t>Infrastructure (Roads, Waterworks et al.)</t>
  </si>
  <si>
    <t>Salary (Municipal and Government et al.)</t>
  </si>
  <si>
    <t>Paid as NCs to Investors Ventures in Lake Malawi</t>
  </si>
  <si>
    <t>Give Half Back Income</t>
  </si>
  <si>
    <t>International POP Investment</t>
  </si>
  <si>
    <t>S-World UCS™ Lake Malawi Simulation 1.02</t>
  </si>
  <si>
    <t>Ŕ in 2024</t>
  </si>
  <si>
    <t>Ŕ in 2025</t>
  </si>
  <si>
    <t>Total Ŕevenue</t>
  </si>
  <si>
    <t>Gigafactory (Tesla Battery Factory)</t>
  </si>
  <si>
    <t>Desalinization Plant and Pipeline to Ocean</t>
  </si>
  <si>
    <t>Gigafactory:</t>
  </si>
  <si>
    <t xml:space="preserve">Desalinization Plant: </t>
  </si>
  <si>
    <t xml:space="preserve">Solar Powered Desalinization Plant: </t>
  </si>
  <si>
    <t>Desalinization Plant and Pipeline to Ocean (Solar Powered)</t>
  </si>
  <si>
    <t>Śpin 9</t>
  </si>
  <si>
    <t>10 Śpins</t>
  </si>
  <si>
    <t>Śpin 10</t>
  </si>
  <si>
    <t>Śpin 11</t>
  </si>
  <si>
    <t>Śpin 12</t>
  </si>
  <si>
    <t>Śpin 13</t>
  </si>
  <si>
    <t>Śpin 14</t>
  </si>
  <si>
    <t>Śpin 15</t>
  </si>
  <si>
    <t>Śpin 16</t>
  </si>
  <si>
    <t>5% of 'Adds to GDP'</t>
  </si>
  <si>
    <t>Business Merger</t>
  </si>
  <si>
    <t>Owner Take Home</t>
  </si>
  <si>
    <t>After Tax</t>
  </si>
  <si>
    <t>Śpin 17</t>
  </si>
  <si>
    <t>Śpin 18</t>
  </si>
  <si>
    <t>Śpin 19</t>
  </si>
  <si>
    <t>Śpin 20</t>
  </si>
  <si>
    <t>Śpin 21</t>
  </si>
  <si>
    <t>Śpin 22</t>
  </si>
  <si>
    <t>Śpin 23</t>
  </si>
  <si>
    <t>Śpin 24</t>
  </si>
  <si>
    <t>Śpin Roll-over</t>
  </si>
  <si>
    <t xml:space="preserve">Special Project 11. African Rain </t>
  </si>
  <si>
    <t>Desalination Projects Funding</t>
  </si>
  <si>
    <t>Super Project 5. Water</t>
  </si>
  <si>
    <t>Audacious Ideas</t>
  </si>
  <si>
    <t>http://www.angeltheory.org/book1-4/an-ecological-and-philanthropic-theory-everything-plus-space</t>
  </si>
  <si>
    <t>http://www.angeltheory.org/book3-14/ripple-effects-and-elephants-for-paul-g-allen</t>
  </si>
  <si>
    <t>Gigafactory Projects Funding</t>
  </si>
  <si>
    <t>Tesla M-Series Funding</t>
  </si>
  <si>
    <t>Super Project 6. S-World Power</t>
  </si>
  <si>
    <t>The Gigafactory</t>
  </si>
  <si>
    <t>African Rain</t>
  </si>
  <si>
    <t>Desalination</t>
  </si>
  <si>
    <t>Projects Funding</t>
  </si>
  <si>
    <t>TWF UCS™ Ťenders</t>
  </si>
  <si>
    <t>After 10 Spins</t>
  </si>
  <si>
    <t>2039 Global GDP</t>
  </si>
  <si>
    <t>2039 Malawi GDP (Plus non S-World GDP)</t>
  </si>
  <si>
    <t>Percentage of GDP</t>
  </si>
  <si>
    <t xml:space="preserve">DMCV </t>
  </si>
  <si>
    <t>The only question I have is should this be 2400% to 2500%?</t>
  </si>
  <si>
    <t>Do we include the Initial Ŕevenue in with the cashflow from the 24 Śpins</t>
  </si>
  <si>
    <t>DMCV</t>
  </si>
  <si>
    <t>The Suppliers Butterfly</t>
  </si>
  <si>
    <t>The Window Factory</t>
  </si>
  <si>
    <t>Total Profits</t>
  </si>
  <si>
    <t>The Window</t>
  </si>
  <si>
    <t>2014 +</t>
  </si>
  <si>
    <t>2018 +</t>
  </si>
  <si>
    <t>2021 +</t>
  </si>
  <si>
    <t>2026+</t>
  </si>
  <si>
    <t>2028+</t>
  </si>
  <si>
    <t>2036+</t>
  </si>
  <si>
    <t>a</t>
  </si>
  <si>
    <t>Company Revenue</t>
  </si>
  <si>
    <t>l</t>
  </si>
  <si>
    <t>Bonuses</t>
  </si>
  <si>
    <t>x</t>
  </si>
  <si>
    <t>Factory</t>
  </si>
  <si>
    <t>CE 1</t>
  </si>
  <si>
    <t>CE2</t>
  </si>
  <si>
    <t>CE3</t>
  </si>
  <si>
    <t>CE4</t>
  </si>
  <si>
    <t>CE5a</t>
  </si>
  <si>
    <t>CE5b</t>
  </si>
  <si>
    <t>CE6</t>
  </si>
  <si>
    <t>CE7</t>
  </si>
  <si>
    <t>CE8</t>
  </si>
  <si>
    <t>CE9</t>
  </si>
  <si>
    <t>CE10</t>
  </si>
  <si>
    <t>CE11</t>
  </si>
  <si>
    <t>CE12</t>
  </si>
  <si>
    <t>CE13a</t>
  </si>
  <si>
    <t>CE13b</t>
  </si>
  <si>
    <t>CE14</t>
  </si>
  <si>
    <t>CE15</t>
  </si>
  <si>
    <t>CE16</t>
  </si>
  <si>
    <t>Sales</t>
  </si>
  <si>
    <t>b</t>
  </si>
  <si>
    <t>Profit</t>
  </si>
  <si>
    <t>m</t>
  </si>
  <si>
    <t>Salaries</t>
  </si>
  <si>
    <t>(b+f+j+r+v)</t>
  </si>
  <si>
    <t>2036 Return</t>
  </si>
  <si>
    <t>Operations</t>
  </si>
  <si>
    <t>Finance</t>
  </si>
  <si>
    <t>Marketing</t>
  </si>
  <si>
    <t>Resort 1</t>
  </si>
  <si>
    <t>Product</t>
  </si>
  <si>
    <t>Local</t>
  </si>
  <si>
    <t>Loans</t>
  </si>
  <si>
    <t>Advisory 2</t>
  </si>
  <si>
    <t>Resort 2</t>
  </si>
  <si>
    <t>Resort 3</t>
  </si>
  <si>
    <t>Supplier</t>
  </si>
  <si>
    <t>Resort 6</t>
  </si>
  <si>
    <t>Resort 8</t>
  </si>
  <si>
    <t>Resort 16</t>
  </si>
  <si>
    <t>Costs</t>
  </si>
  <si>
    <t>c</t>
  </si>
  <si>
    <t>Profit vs. Revenue (b/a)</t>
  </si>
  <si>
    <t>n</t>
  </si>
  <si>
    <t>Total QE Efficiency</t>
  </si>
  <si>
    <t>Return %</t>
  </si>
  <si>
    <t>Software</t>
  </si>
  <si>
    <t>Advice</t>
  </si>
  <si>
    <t>Media, PR</t>
  </si>
  <si>
    <t>Order 1</t>
  </si>
  <si>
    <t>Discount</t>
  </si>
  <si>
    <t>Repaid</t>
  </si>
  <si>
    <t>Marketing 2</t>
  </si>
  <si>
    <t>Order 1+1</t>
  </si>
  <si>
    <t>Efficiency</t>
  </si>
  <si>
    <t>Order 2+1</t>
  </si>
  <si>
    <t>Order 3+3</t>
  </si>
  <si>
    <t>Order 4+4</t>
  </si>
  <si>
    <t>Order 4+12</t>
  </si>
  <si>
    <t>o</t>
  </si>
  <si>
    <t>Payroll + Income Tax</t>
  </si>
  <si>
    <t>y</t>
  </si>
  <si>
    <t>Annual Interest</t>
  </si>
  <si>
    <t>Owner Salary</t>
  </si>
  <si>
    <t>Profit vs. Revenue Ratio</t>
  </si>
  <si>
    <t>d</t>
  </si>
  <si>
    <t>Spent</t>
  </si>
  <si>
    <t>p</t>
  </si>
  <si>
    <t>Income After Tax</t>
  </si>
  <si>
    <t>(x/a)</t>
  </si>
  <si>
    <t>Adjusted Annual Interest</t>
  </si>
  <si>
    <t>Staff Salaries</t>
  </si>
  <si>
    <t>Investment vs. Annual Profit (RNL)</t>
  </si>
  <si>
    <t>e</t>
  </si>
  <si>
    <r>
      <t xml:space="preserve">QE </t>
    </r>
    <r>
      <rPr>
        <b/>
        <sz val="8"/>
        <color theme="1"/>
        <rFont val="Arial"/>
        <family val="2"/>
      </rPr>
      <t>E</t>
    </r>
    <r>
      <rPr>
        <sz val="8"/>
        <color theme="1"/>
        <rFont val="Arial"/>
        <family val="2"/>
      </rPr>
      <t xml:space="preserve">fficiency </t>
    </r>
  </si>
  <si>
    <t>q</t>
  </si>
  <si>
    <t>Bank Interest Rate</t>
  </si>
  <si>
    <t>Total Salaries</t>
  </si>
  <si>
    <t>Accumulated Profit</t>
  </si>
  <si>
    <t>f</t>
  </si>
  <si>
    <t>Profit from Suppliers</t>
  </si>
  <si>
    <t>r</t>
  </si>
  <si>
    <t>Profit from Staff (p*q)</t>
  </si>
  <si>
    <t>z</t>
  </si>
  <si>
    <t>Social Taxes 1</t>
  </si>
  <si>
    <t>Investment repaid in full</t>
  </si>
  <si>
    <t>g</t>
  </si>
  <si>
    <t>profit vs. Revenue (f/a)</t>
  </si>
  <si>
    <t>Profit vs. Revenue (r/a)</t>
  </si>
  <si>
    <t>(estimated)</t>
  </si>
  <si>
    <t>Return on Investment (ROI)</t>
  </si>
  <si>
    <t>Media</t>
  </si>
  <si>
    <t>Miscellaneous</t>
  </si>
  <si>
    <t>Total QE Tracking</t>
  </si>
  <si>
    <t>Investment Load</t>
  </si>
  <si>
    <t>h</t>
  </si>
  <si>
    <t>t</t>
  </si>
  <si>
    <t>aa</t>
  </si>
  <si>
    <t>Accounting</t>
  </si>
  <si>
    <t>i</t>
  </si>
  <si>
    <t>u</t>
  </si>
  <si>
    <t>(x+y)</t>
  </si>
  <si>
    <t xml:space="preserve">Advertising </t>
  </si>
  <si>
    <t>j</t>
  </si>
  <si>
    <t>Profit from Media</t>
  </si>
  <si>
    <t>v</t>
  </si>
  <si>
    <t>Profit from Miscellaneous</t>
  </si>
  <si>
    <t>Economic Black Hole</t>
  </si>
  <si>
    <t>k</t>
  </si>
  <si>
    <t>profit vs. Revenue (j/a)</t>
  </si>
  <si>
    <t>w</t>
  </si>
  <si>
    <t>profit vs. Revenue (v/a)</t>
  </si>
  <si>
    <t>ab</t>
  </si>
  <si>
    <t>Operations Cost</t>
  </si>
  <si>
    <t>Local Sales</t>
  </si>
  <si>
    <t>Local Sales +/-</t>
  </si>
  <si>
    <t xml:space="preserve">Resorts Orders </t>
  </si>
  <si>
    <t>Sales Tax</t>
  </si>
  <si>
    <t>Materials Cost</t>
  </si>
  <si>
    <t>Materials %</t>
  </si>
  <si>
    <t>Total Costs</t>
  </si>
  <si>
    <t>4 x 7</t>
  </si>
  <si>
    <t>Profit Before (PS)</t>
  </si>
  <si>
    <t>Profit Share (PS)</t>
  </si>
  <si>
    <t>Staff Bonuses</t>
  </si>
  <si>
    <t xml:space="preserve"> per string</t>
  </si>
  <si>
    <t>Social taxes 2</t>
  </si>
  <si>
    <t>us total</t>
  </si>
  <si>
    <t xml:space="preserve">Profit vs. Revenue </t>
  </si>
  <si>
    <t>16 years each</t>
  </si>
  <si>
    <t>/by profit</t>
  </si>
  <si>
    <t>The Window factory</t>
  </si>
  <si>
    <t>EEE Profit vs. Revenue Ratio</t>
  </si>
  <si>
    <t>2036 Profits</t>
  </si>
  <si>
    <t>Revenue</t>
  </si>
  <si>
    <t>Minus Tax at 33%</t>
  </si>
  <si>
    <t>Materials</t>
  </si>
  <si>
    <t>Suppliers Profit</t>
  </si>
  <si>
    <t>Total Profit vs. Revenue Ratio</t>
  </si>
  <si>
    <t>Suppliers Suppliers Profit</t>
  </si>
  <si>
    <t>75% Spent Via Network</t>
  </si>
  <si>
    <t>Approximate Tax Yield 18%</t>
  </si>
  <si>
    <t>Goods Profit (c+f+g)</t>
  </si>
  <si>
    <t>Total Other (j+k+l+0)</t>
  </si>
  <si>
    <t>PQS Economic Tracking</t>
  </si>
  <si>
    <t>Goods Profit vs. Revenue</t>
  </si>
  <si>
    <t>Goods + Other (h+p)</t>
  </si>
  <si>
    <t>Continetal Cube</t>
  </si>
  <si>
    <t>Global Cube</t>
  </si>
  <si>
    <t>Grand Network Cube</t>
  </si>
  <si>
    <t>Standard Companies within a Grand Network</t>
  </si>
  <si>
    <t>Total Standard Companies</t>
  </si>
  <si>
    <t>KM</t>
  </si>
  <si>
    <t xml:space="preserve">Malawi </t>
  </si>
  <si>
    <t>Half Nature Reserve and Cities</t>
  </si>
  <si>
    <t>years</t>
  </si>
  <si>
    <t xml:space="preserve">S-World GT &amp; Other Transport: </t>
  </si>
  <si>
    <t>Non Production Expenses</t>
  </si>
  <si>
    <t>Sector / Company Turnover Goes To? &gt;&gt;&gt;</t>
  </si>
  <si>
    <t>Sector / Company Income Spent On…</t>
  </si>
  <si>
    <t>Origional LCR</t>
  </si>
  <si>
    <t>LCR</t>
  </si>
  <si>
    <t>of Ŕevenue</t>
  </si>
  <si>
    <t>the Law of Conservastion</t>
  </si>
  <si>
    <t>January</t>
  </si>
  <si>
    <t>Sept</t>
  </si>
  <si>
    <t>Oct</t>
  </si>
  <si>
    <t>Nov</t>
  </si>
  <si>
    <t>Dec</t>
  </si>
  <si>
    <t>Both of the below</t>
  </si>
  <si>
    <t>Blue buys $500,0000 from Green</t>
  </si>
  <si>
    <t>Starts with inventory of $500,0000</t>
  </si>
  <si>
    <t>Green buys $500,000 from Blue</t>
  </si>
  <si>
    <t>Starts with $500,000 cash</t>
  </si>
  <si>
    <t>No Traditional Taxes</t>
  </si>
  <si>
    <t xml:space="preserve">Repeat </t>
  </si>
  <si>
    <t>Manufacturing &amp; IT</t>
  </si>
  <si>
    <t>Real Estate &amp; Infrastructure</t>
  </si>
  <si>
    <t>Blue makes everything green wants or needs</t>
  </si>
  <si>
    <t xml:space="preserve">Blue uses the $500,000 to create </t>
  </si>
  <si>
    <t>$500,000 of food, goods, services, real estate</t>
  </si>
  <si>
    <t>Green makes everything blue wants or needs</t>
  </si>
  <si>
    <t xml:space="preserve">Green uses the $500,000 to create </t>
  </si>
  <si>
    <t>All sectors except Government make good services, real estate and infrastructure.</t>
  </si>
  <si>
    <t>Due to no VAT or other tax, the 80% output created by all but government is enough to make the $500,000 in goods, services and real estate competitive.</t>
  </si>
  <si>
    <t xml:space="preserve">Maybe the government could in part become Infrastructure? </t>
  </si>
  <si>
    <t>The ŔÉŚ Equation Supply Side</t>
  </si>
  <si>
    <t>Mid February</t>
  </si>
  <si>
    <t>March</t>
  </si>
  <si>
    <t xml:space="preserve">Mid April </t>
  </si>
  <si>
    <t>June</t>
  </si>
  <si>
    <t>Mid July</t>
  </si>
  <si>
    <t>September</t>
  </si>
  <si>
    <t>Mid Oct</t>
  </si>
  <si>
    <t>Note that a 95% E means we need to account for all raw materials made or traded for</t>
  </si>
  <si>
    <t>Cash Flow from 'ŔÉŚ and The Sienna Equalibrium 2.5 (9th Sept 2018)' Tab: ŔÉŚ &amp; The Sienna Equ... V2.5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</si>
</sst>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quot;£&quot;* #,##0.00_-;\-&quot;£&quot;* #,##0.00_-;_-&quot;£&quot;* &quot;-&quot;??_-;_-@_-"/>
    <numFmt numFmtId="43" formatCode="_-* #,##0.00_-;\-* #,##0.00_-;_-* &quot;-&quot;??_-;_-@_-"/>
    <numFmt numFmtId="164" formatCode="_-[$$-409]* #,##0.00_ ;_-[$$-409]* \-#,##0.00\ ;_-[$$-409]* &quot;-&quot;??_ ;_-@_ "/>
    <numFmt numFmtId="165" formatCode="_-* #,##0_-;\-* #,##0_-;_-* &quot;-&quot;??_-;_-@_-"/>
    <numFmt numFmtId="166" formatCode="0.0%"/>
    <numFmt numFmtId="167" formatCode="0.000%"/>
    <numFmt numFmtId="168" formatCode="0.0"/>
    <numFmt numFmtId="169" formatCode="0.0000%"/>
    <numFmt numFmtId="170" formatCode="0.000000%"/>
    <numFmt numFmtId="171" formatCode="0.00000%"/>
    <numFmt numFmtId="172" formatCode="0.000"/>
    <numFmt numFmtId="173" formatCode="_-[$$-409]* #,##0.00_ ;_-[$$-409]* \-#,##0.00\ ;_-[$$-409]* &quot;-&quot;???_ ;_-@_ "/>
    <numFmt numFmtId="174" formatCode="0.0000000000%"/>
    <numFmt numFmtId="175" formatCode="_-[$$-409]* #,##0_ ;_-[$$-409]* \-#,##0\ ;_-[$$-409]* &quot;-&quot;???_ ;_-@_ "/>
    <numFmt numFmtId="176" formatCode="&quot;$&quot;#,##0"/>
    <numFmt numFmtId="177" formatCode="&quot;$&quot;#,##0.00"/>
    <numFmt numFmtId="178" formatCode="_ &quot;R&quot;\ * #,##0_ ;_ &quot;R&quot;\ * \-#,##0_ ;_ &quot;R&quot;\ * &quot;-&quot;??_ ;_ @_ "/>
    <numFmt numFmtId="179" formatCode="&quot;R&quot;\ #,##0"/>
    <numFmt numFmtId="180" formatCode="_(* #,##0_);_(* \(#,##0\);_(* &quot;-&quot;??_);_(@_)"/>
    <numFmt numFmtId="181" formatCode="_(* #,##0.00_);_(* \(#,##0.00\);_(* &quot;-&quot;??_);_(@_)"/>
    <numFmt numFmtId="182" formatCode="_-[$$-409]* #,##0_ ;_-[$$-409]* \-#,##0\ ;_-[$$-409]* &quot;-&quot;??_ ;_-@_ "/>
    <numFmt numFmtId="183" formatCode="_-[$$-409]* #,##0.000_ ;_-[$$-409]* \-#,##0.000\ ;_-[$$-409]* &quot;-&quot;???_ ;_-@_ "/>
    <numFmt numFmtId="184" formatCode="_-[$$-409]* #,##0.0000_ ;_-[$$-409]* \-#,##0.0000\ ;_-[$$-409]* &quot;-&quot;???_ ;_-@_ "/>
  </numFmts>
  <fonts count="93" x14ac:knownFonts="1">
    <font>
      <sz val="11"/>
      <color theme="1"/>
      <name val="Calibri"/>
      <family val="2"/>
      <scheme val="minor"/>
    </font>
    <font>
      <sz val="12"/>
      <color theme="1"/>
      <name val="Calibri Light"/>
      <family val="2"/>
      <scheme val="major"/>
    </font>
    <font>
      <sz val="11"/>
      <color theme="1"/>
      <name val="Calibri"/>
      <family val="2"/>
      <scheme val="minor"/>
    </font>
    <font>
      <sz val="16"/>
      <color theme="1"/>
      <name val="Calibri Light"/>
      <family val="2"/>
      <scheme val="major"/>
    </font>
    <font>
      <sz val="12"/>
      <color rgb="FF222222"/>
      <name val="Calibri Light"/>
      <family val="2"/>
      <scheme val="major"/>
    </font>
    <font>
      <sz val="12"/>
      <color theme="0"/>
      <name val="Calibri Light"/>
      <family val="2"/>
      <scheme val="major"/>
    </font>
    <font>
      <sz val="12"/>
      <name val="Calibri Light"/>
      <family val="2"/>
      <scheme val="major"/>
    </font>
    <font>
      <b/>
      <sz val="12"/>
      <color rgb="FF222222"/>
      <name val="Calibri Light"/>
      <family val="2"/>
      <scheme val="major"/>
    </font>
    <font>
      <sz val="9"/>
      <color indexed="81"/>
      <name val="Tahoma"/>
      <family val="2"/>
    </font>
    <font>
      <b/>
      <sz val="9"/>
      <color indexed="81"/>
      <name val="Tahoma"/>
      <family val="2"/>
    </font>
    <font>
      <sz val="12"/>
      <color rgb="FF000000"/>
      <name val="Calibri Light"/>
      <family val="2"/>
    </font>
    <font>
      <sz val="14"/>
      <color theme="1"/>
      <name val="Calibri Light"/>
      <family val="2"/>
      <scheme val="major"/>
    </font>
    <font>
      <sz val="14"/>
      <color theme="0"/>
      <name val="Calibri Light"/>
      <family val="2"/>
      <scheme val="major"/>
    </font>
    <font>
      <sz val="12"/>
      <color rgb="FF333333"/>
      <name val="Calibri Light"/>
      <family val="2"/>
      <scheme val="major"/>
    </font>
    <font>
      <sz val="12"/>
      <color rgb="FF000000"/>
      <name val="Calibri Light"/>
      <family val="2"/>
      <scheme val="major"/>
    </font>
    <font>
      <b/>
      <sz val="12"/>
      <color theme="1"/>
      <name val="Calibri Light"/>
      <family val="2"/>
      <scheme val="major"/>
    </font>
    <font>
      <i/>
      <sz val="12"/>
      <color theme="1"/>
      <name val="Calibri Light"/>
      <family val="2"/>
      <scheme val="major"/>
    </font>
    <font>
      <sz val="18"/>
      <color theme="3" tint="0.79998168889431442"/>
      <name val="Arial Black"/>
      <family val="2"/>
    </font>
    <font>
      <b/>
      <sz val="12"/>
      <name val="Calibri Light"/>
      <family val="2"/>
      <scheme val="major"/>
    </font>
    <font>
      <sz val="18"/>
      <color theme="2" tint="-9.9978637043366805E-2"/>
      <name val="Arial Black"/>
      <family val="2"/>
    </font>
    <font>
      <sz val="18"/>
      <color theme="4" tint="0.79998168889431442"/>
      <name val="Arial Black"/>
      <family val="2"/>
    </font>
    <font>
      <sz val="18"/>
      <color rgb="FFC00000"/>
      <name val="Arial Black"/>
      <family val="2"/>
    </font>
    <font>
      <sz val="18"/>
      <color theme="7" tint="0.59999389629810485"/>
      <name val="Arial Black"/>
      <family val="2"/>
    </font>
    <font>
      <sz val="18"/>
      <color rgb="FF66FFCC"/>
      <name val="Arial Black"/>
      <family val="2"/>
    </font>
    <font>
      <sz val="18"/>
      <color rgb="FFC1FFF3"/>
      <name val="Arial Black"/>
      <family val="2"/>
    </font>
    <font>
      <sz val="18"/>
      <color theme="7" tint="0.79998168889431442"/>
      <name val="Arial Black"/>
      <family val="2"/>
    </font>
    <font>
      <sz val="18"/>
      <color theme="4"/>
      <name val="Arial Black"/>
      <family val="2"/>
    </font>
    <font>
      <sz val="18"/>
      <color theme="1"/>
      <name val="Calibri Light"/>
      <family val="2"/>
      <scheme val="major"/>
    </font>
    <font>
      <sz val="16"/>
      <color theme="3" tint="0.39997558519241921"/>
      <name val="Open Sans Extrabold"/>
      <family val="2"/>
    </font>
    <font>
      <sz val="16"/>
      <color theme="0" tint="-0.34998626667073579"/>
      <name val="Calibri Light"/>
      <family val="2"/>
      <scheme val="major"/>
    </font>
    <font>
      <sz val="12"/>
      <color theme="0" tint="-0.34998626667073579"/>
      <name val="Calibri Light"/>
      <family val="2"/>
      <scheme val="major"/>
    </font>
    <font>
      <i/>
      <sz val="20"/>
      <color theme="1"/>
      <name val="Perpetua"/>
      <family val="1"/>
    </font>
    <font>
      <sz val="16"/>
      <color theme="0"/>
      <name val="Calibri Light"/>
      <family val="2"/>
      <scheme val="major"/>
    </font>
    <font>
      <sz val="14"/>
      <name val="Calibri Light"/>
      <family val="2"/>
      <scheme val="major"/>
    </font>
    <font>
      <sz val="12"/>
      <color theme="0" tint="-0.14999847407452621"/>
      <name val="Calibri Light"/>
      <family val="2"/>
      <scheme val="major"/>
    </font>
    <font>
      <sz val="12"/>
      <color theme="1" tint="0.499984740745262"/>
      <name val="Calibri Light"/>
      <family val="2"/>
      <scheme val="major"/>
    </font>
    <font>
      <sz val="12"/>
      <color theme="1" tint="0.249977111117893"/>
      <name val="Calibri Light"/>
      <family val="2"/>
      <scheme val="major"/>
    </font>
    <font>
      <sz val="12"/>
      <color theme="0" tint="-0.249977111117893"/>
      <name val="Calibri Light"/>
      <family val="2"/>
      <scheme val="major"/>
    </font>
    <font>
      <sz val="12"/>
      <color theme="3" tint="0.59999389629810485"/>
      <name val="Calibri Light"/>
      <family val="2"/>
      <scheme val="major"/>
    </font>
    <font>
      <i/>
      <sz val="16"/>
      <color rgb="FFC00000"/>
      <name val="Times New Roman"/>
      <family val="1"/>
    </font>
    <font>
      <sz val="12"/>
      <color theme="3" tint="0.39997558519241921"/>
      <name val="Calibri Light"/>
      <family val="2"/>
      <scheme val="major"/>
    </font>
    <font>
      <sz val="11"/>
      <color theme="1"/>
      <name val="Calibri Light"/>
      <family val="2"/>
      <scheme val="major"/>
    </font>
    <font>
      <sz val="11"/>
      <color theme="0"/>
      <name val="Calibri Light"/>
      <family val="2"/>
      <scheme val="major"/>
    </font>
    <font>
      <i/>
      <sz val="16"/>
      <name val="Times New Roman"/>
      <family val="1"/>
    </font>
    <font>
      <sz val="16"/>
      <color theme="3" tint="0.59999389629810485"/>
      <name val="Arial Black"/>
      <family val="2"/>
    </font>
    <font>
      <sz val="18"/>
      <color theme="0"/>
      <name val="Arial Black"/>
      <family val="2"/>
    </font>
    <font>
      <sz val="14"/>
      <color theme="3" tint="-0.249977111117893"/>
      <name val="Open Sans Light"/>
      <family val="2"/>
    </font>
    <font>
      <sz val="12"/>
      <color theme="3" tint="0.59999389629810485"/>
      <name val="Arial Black"/>
      <family val="2"/>
    </font>
    <font>
      <sz val="12"/>
      <color theme="2" tint="-9.9978637043366805E-2"/>
      <name val="Calibri Light"/>
      <family val="2"/>
      <scheme val="major"/>
    </font>
    <font>
      <sz val="12"/>
      <color theme="3" tint="-0.249977111117893"/>
      <name val="Calibri Light"/>
      <family val="2"/>
      <scheme val="major"/>
    </font>
    <font>
      <sz val="14"/>
      <color theme="1"/>
      <name val="Open Sans Light"/>
      <family val="2"/>
    </font>
    <font>
      <sz val="16"/>
      <color theme="0"/>
      <name val="Open Sans Light"/>
      <family val="2"/>
    </font>
    <font>
      <sz val="14"/>
      <color theme="2" tint="-0.749992370372631"/>
      <name val="Calibri Light"/>
      <family val="2"/>
      <scheme val="major"/>
    </font>
    <font>
      <sz val="16"/>
      <color theme="0"/>
      <name val="Arial Black"/>
      <family val="2"/>
    </font>
    <font>
      <sz val="16"/>
      <color theme="1"/>
      <name val="Arial Black"/>
      <family val="2"/>
    </font>
    <font>
      <sz val="16"/>
      <color theme="3" tint="0.39997558519241921"/>
      <name val="Arial Black"/>
      <family val="2"/>
    </font>
    <font>
      <b/>
      <sz val="12"/>
      <color theme="0"/>
      <name val="Calibri Light"/>
      <family val="2"/>
      <scheme val="major"/>
    </font>
    <font>
      <sz val="16"/>
      <color theme="3" tint="0.79998168889431442"/>
      <name val="Arial Black"/>
      <family val="2"/>
    </font>
    <font>
      <sz val="16"/>
      <color rgb="FF647B9A"/>
      <name val="Arial Black"/>
      <family val="2"/>
    </font>
    <font>
      <sz val="18"/>
      <color theme="0"/>
      <name val="Calibri Light"/>
      <family val="2"/>
      <scheme val="major"/>
    </font>
    <font>
      <b/>
      <sz val="18"/>
      <color theme="1"/>
      <name val="Calibri Light"/>
      <family val="2"/>
      <scheme val="major"/>
    </font>
    <font>
      <sz val="18"/>
      <name val="Calibri Light"/>
      <family val="2"/>
      <scheme val="major"/>
    </font>
    <font>
      <b/>
      <sz val="12"/>
      <color rgb="FFFFCCFF"/>
      <name val="Arial Black"/>
      <family val="2"/>
    </font>
    <font>
      <b/>
      <sz val="12"/>
      <color theme="0"/>
      <name val="Arial Black"/>
      <family val="2"/>
    </font>
    <font>
      <b/>
      <sz val="12"/>
      <color rgb="FFFFCCFF"/>
      <name val="Calibri Light"/>
      <family val="2"/>
      <scheme val="major"/>
    </font>
    <font>
      <sz val="12"/>
      <color theme="0"/>
      <name val="Calibri"/>
      <family val="2"/>
      <scheme val="minor"/>
    </font>
    <font>
      <sz val="10"/>
      <color theme="0"/>
      <name val="Arial Black"/>
      <family val="2"/>
    </font>
    <font>
      <sz val="12"/>
      <color theme="0"/>
      <name val="Arial Black"/>
      <family val="2"/>
    </font>
    <font>
      <sz val="12"/>
      <color theme="7" tint="0.79998168889431442"/>
      <name val="Calibri Light"/>
      <family val="2"/>
      <scheme val="major"/>
    </font>
    <font>
      <u/>
      <sz val="12"/>
      <color theme="0"/>
      <name val="Arial Black"/>
      <family val="2"/>
    </font>
    <font>
      <u/>
      <sz val="12"/>
      <color theme="0"/>
      <name val="Calibri Light"/>
      <family val="2"/>
      <scheme val="major"/>
    </font>
    <font>
      <sz val="12"/>
      <color rgb="FF66FFCC"/>
      <name val="Arial Black"/>
      <family val="2"/>
    </font>
    <font>
      <sz val="12"/>
      <color rgb="FF66FFCC"/>
      <name val="Calibri Light"/>
      <family val="2"/>
      <scheme val="major"/>
    </font>
    <font>
      <u/>
      <sz val="12"/>
      <color rgb="FF66FFCC"/>
      <name val="Calibri Light"/>
      <family val="2"/>
      <scheme val="major"/>
    </font>
    <font>
      <sz val="72"/>
      <color theme="3" tint="0.59999389629810485"/>
      <name val="Arial Black"/>
      <family val="2"/>
    </font>
    <font>
      <sz val="18"/>
      <color theme="3" tint="0.59999389629810485"/>
      <name val="Arial Black"/>
      <family val="2"/>
    </font>
    <font>
      <sz val="18"/>
      <color theme="4" tint="0.59999389629810485"/>
      <name val="Arial Black"/>
      <family val="2"/>
    </font>
    <font>
      <sz val="18"/>
      <color theme="3" tint="0.39997558519241921"/>
      <name val="Arial Black"/>
      <family val="2"/>
    </font>
    <font>
      <sz val="18"/>
      <color theme="4" tint="0.39997558519241921"/>
      <name val="Calibri Light"/>
      <family val="2"/>
      <scheme val="major"/>
    </font>
    <font>
      <sz val="12"/>
      <color theme="1" tint="4.9989318521683403E-2"/>
      <name val="Calibri Light"/>
      <family val="2"/>
      <scheme val="major"/>
    </font>
    <font>
      <sz val="20"/>
      <color theme="0"/>
      <name val="Calibri Light"/>
      <family val="2"/>
      <scheme val="major"/>
    </font>
    <font>
      <sz val="18"/>
      <color theme="0"/>
      <name val="Open Sans Light"/>
      <family val="2"/>
    </font>
    <font>
      <sz val="12"/>
      <color theme="0"/>
      <name val="Open Sans Light"/>
      <family val="2"/>
    </font>
    <font>
      <sz val="12"/>
      <color theme="1"/>
      <name val="Calibri Light"/>
      <family val="2"/>
    </font>
    <font>
      <sz val="8"/>
      <color theme="1"/>
      <name val="Arial"/>
      <family val="2"/>
    </font>
    <font>
      <sz val="8"/>
      <color theme="0"/>
      <name val="Arial"/>
      <family val="2"/>
    </font>
    <font>
      <b/>
      <sz val="8"/>
      <color theme="0"/>
      <name val="Arial"/>
      <family val="2"/>
    </font>
    <font>
      <b/>
      <sz val="8"/>
      <name val="Arial"/>
      <family val="2"/>
    </font>
    <font>
      <sz val="8"/>
      <name val="Arial"/>
      <family val="2"/>
    </font>
    <font>
      <b/>
      <sz val="8"/>
      <color theme="1"/>
      <name val="Arial"/>
      <family val="2"/>
    </font>
    <font>
      <sz val="10"/>
      <color theme="1"/>
      <name val="Calibri Light"/>
      <family val="2"/>
      <scheme val="major"/>
    </font>
    <font>
      <sz val="10"/>
      <color theme="0"/>
      <name val="Calibri Light"/>
      <family val="2"/>
      <scheme val="major"/>
    </font>
    <font>
      <sz val="12"/>
      <color theme="0"/>
      <name val="Calibri Light"/>
      <family val="2"/>
    </font>
  </fonts>
  <fills count="59">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rgb="FF00CC99"/>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2"/>
        <bgColor indexed="64"/>
      </patternFill>
    </fill>
    <fill>
      <patternFill patternType="solid">
        <fgColor rgb="FFC00000"/>
        <bgColor indexed="64"/>
      </patternFill>
    </fill>
    <fill>
      <patternFill patternType="solid">
        <fgColor rgb="FF9966FF"/>
        <bgColor indexed="64"/>
      </patternFill>
    </fill>
    <fill>
      <patternFill patternType="solid">
        <fgColor rgb="FFFFCCFF"/>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99FFCC"/>
        <bgColor indexed="64"/>
      </patternFill>
    </fill>
    <fill>
      <patternFill patternType="solid">
        <fgColor rgb="FFCCCCFF"/>
        <bgColor indexed="64"/>
      </patternFill>
    </fill>
    <fill>
      <patternFill patternType="solid">
        <fgColor rgb="FFE1E1FF"/>
        <bgColor indexed="64"/>
      </patternFill>
    </fill>
    <fill>
      <patternFill patternType="solid">
        <fgColor rgb="FFF3F3FF"/>
        <bgColor indexed="64"/>
      </patternFill>
    </fill>
    <fill>
      <patternFill patternType="solid">
        <fgColor theme="4" tint="-0.249977111117893"/>
        <bgColor indexed="64"/>
      </patternFill>
    </fill>
    <fill>
      <patternFill patternType="solid">
        <fgColor theme="3" tint="-0.499984740745262"/>
        <bgColor indexed="64"/>
      </patternFill>
    </fill>
    <fill>
      <patternFill patternType="solid">
        <fgColor rgb="FFFFF9E7"/>
        <bgColor indexed="64"/>
      </patternFill>
    </fill>
    <fill>
      <patternFill patternType="solid">
        <fgColor theme="1" tint="0.24997711111789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rgb="FF66FFCC"/>
        <bgColor indexed="64"/>
      </patternFill>
    </fill>
    <fill>
      <patternFill patternType="solid">
        <fgColor theme="2" tint="-0.249977111117893"/>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4"/>
        <bgColor indexed="64"/>
      </patternFill>
    </fill>
    <fill>
      <patternFill patternType="solid">
        <fgColor rgb="FF00FFCC"/>
        <bgColor indexed="64"/>
      </patternFill>
    </fill>
    <fill>
      <patternFill patternType="solid">
        <fgColor rgb="FFC1FFF3"/>
        <bgColor indexed="64"/>
      </patternFill>
    </fill>
    <fill>
      <patternFill patternType="solid">
        <fgColor theme="2" tint="-0.499984740745262"/>
        <bgColor indexed="64"/>
      </patternFill>
    </fill>
    <fill>
      <patternFill patternType="solid">
        <fgColor rgb="FFFFEFFF"/>
        <bgColor indexed="64"/>
      </patternFill>
    </fill>
    <fill>
      <patternFill patternType="solid">
        <fgColor theme="7" tint="0.39997558519241921"/>
        <bgColor indexed="64"/>
      </patternFill>
    </fill>
    <fill>
      <patternFill patternType="solid">
        <fgColor rgb="FFFFEBAB"/>
        <bgColor indexed="64"/>
      </patternFill>
    </fill>
    <fill>
      <patternFill patternType="solid">
        <fgColor theme="1"/>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7388A5"/>
        <bgColor indexed="64"/>
      </patternFill>
    </fill>
    <fill>
      <patternFill patternType="solid">
        <fgColor rgb="FF4E617A"/>
        <bgColor indexed="64"/>
      </patternFill>
    </fill>
    <fill>
      <patternFill patternType="solid">
        <fgColor theme="7"/>
        <bgColor indexed="64"/>
      </patternFill>
    </fill>
    <fill>
      <patternFill patternType="solid">
        <fgColor rgb="FF00E699"/>
        <bgColor indexed="64"/>
      </patternFill>
    </fill>
    <fill>
      <patternFill patternType="solid">
        <fgColor rgb="FF666699"/>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rgb="FF00B0F0"/>
        <bgColor indexed="64"/>
      </patternFill>
    </fill>
    <fill>
      <patternFill patternType="solid">
        <fgColor rgb="FFF4BBFD"/>
        <bgColor indexed="64"/>
      </patternFill>
    </fill>
    <fill>
      <patternFill patternType="solid">
        <fgColor rgb="FFD40AF6"/>
        <bgColor indexed="64"/>
      </patternFill>
    </fill>
    <fill>
      <patternFill patternType="solid">
        <fgColor rgb="FFF331C0"/>
        <bgColor indexed="64"/>
      </patternFill>
    </fill>
    <fill>
      <patternFill patternType="solid">
        <fgColor rgb="FFAD07C9"/>
        <bgColor indexed="64"/>
      </patternFill>
    </fill>
    <fill>
      <patternFill patternType="solid">
        <fgColor rgb="FF00EEC1"/>
        <bgColor indexed="64"/>
      </patternFill>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173"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cellStyleXfs>
  <cellXfs count="1536">
    <xf numFmtId="173" fontId="0" fillId="0" borderId="0" xfId="0"/>
    <xf numFmtId="173" fontId="1" fillId="0" borderId="0" xfId="0" applyFont="1"/>
    <xf numFmtId="173" fontId="1" fillId="0" borderId="0" xfId="0" applyNumberFormat="1" applyFont="1"/>
    <xf numFmtId="173" fontId="1" fillId="0" borderId="1" xfId="0" applyNumberFormat="1" applyFont="1" applyBorder="1"/>
    <xf numFmtId="173" fontId="1" fillId="0" borderId="2" xfId="0" applyFont="1" applyBorder="1"/>
    <xf numFmtId="173" fontId="1" fillId="0" borderId="3" xfId="0" applyFont="1" applyBorder="1"/>
    <xf numFmtId="173" fontId="1" fillId="0" borderId="4" xfId="0" applyNumberFormat="1" applyFont="1" applyBorder="1"/>
    <xf numFmtId="173" fontId="1" fillId="0" borderId="0" xfId="0" applyFont="1" applyBorder="1"/>
    <xf numFmtId="173" fontId="1" fillId="0" borderId="5" xfId="0" applyFont="1" applyBorder="1"/>
    <xf numFmtId="173" fontId="1" fillId="0" borderId="6" xfId="0" applyNumberFormat="1" applyFont="1" applyBorder="1"/>
    <xf numFmtId="173" fontId="1" fillId="0" borderId="7" xfId="0" applyFont="1" applyBorder="1"/>
    <xf numFmtId="173" fontId="1" fillId="0" borderId="8" xfId="0" applyFont="1" applyBorder="1"/>
    <xf numFmtId="173" fontId="1" fillId="0" borderId="0" xfId="0" applyFont="1" applyAlignment="1">
      <alignment horizontal="center"/>
    </xf>
    <xf numFmtId="173" fontId="1" fillId="0" borderId="1" xfId="0" applyFont="1" applyBorder="1"/>
    <xf numFmtId="173" fontId="1" fillId="0" borderId="9" xfId="0" applyFont="1" applyBorder="1" applyAlignment="1">
      <alignment horizontal="center"/>
    </xf>
    <xf numFmtId="173" fontId="1" fillId="0" borderId="10" xfId="0" applyFont="1" applyBorder="1" applyAlignment="1">
      <alignment horizontal="center"/>
    </xf>
    <xf numFmtId="173" fontId="1" fillId="0" borderId="11" xfId="0" applyFont="1" applyBorder="1" applyAlignment="1">
      <alignment horizontal="center"/>
    </xf>
    <xf numFmtId="173" fontId="1" fillId="0" borderId="13" xfId="0" applyFont="1" applyBorder="1"/>
    <xf numFmtId="9" fontId="1" fillId="0" borderId="0" xfId="0" applyNumberFormat="1" applyFont="1"/>
    <xf numFmtId="9" fontId="1" fillId="0" borderId="0" xfId="0" applyNumberFormat="1" applyFont="1" applyAlignment="1">
      <alignment horizontal="center"/>
    </xf>
    <xf numFmtId="9" fontId="0" fillId="0" borderId="0" xfId="0" applyNumberFormat="1"/>
    <xf numFmtId="173" fontId="0" fillId="0" borderId="0" xfId="0" applyNumberFormat="1"/>
    <xf numFmtId="173" fontId="0" fillId="0" borderId="0" xfId="0" applyNumberFormat="1"/>
    <xf numFmtId="9" fontId="0" fillId="0" borderId="0" xfId="2" applyFont="1"/>
    <xf numFmtId="173" fontId="0" fillId="0" borderId="14" xfId="0" applyBorder="1"/>
    <xf numFmtId="173" fontId="0" fillId="0" borderId="15" xfId="0" applyBorder="1"/>
    <xf numFmtId="173" fontId="0" fillId="0" borderId="0" xfId="0" applyAlignment="1">
      <alignment horizontal="center"/>
    </xf>
    <xf numFmtId="173" fontId="0" fillId="0" borderId="15" xfId="0" applyNumberFormat="1" applyBorder="1"/>
    <xf numFmtId="165" fontId="0" fillId="0" borderId="0" xfId="1" applyNumberFormat="1" applyFont="1"/>
    <xf numFmtId="43" fontId="1" fillId="0" borderId="0" xfId="0" applyNumberFormat="1" applyFont="1"/>
    <xf numFmtId="10" fontId="1" fillId="0" borderId="0" xfId="0" applyNumberFormat="1" applyFont="1"/>
    <xf numFmtId="173" fontId="3" fillId="0" borderId="0" xfId="0" applyFont="1"/>
    <xf numFmtId="9" fontId="1" fillId="0" borderId="0" xfId="2" applyFont="1"/>
    <xf numFmtId="173" fontId="1" fillId="0" borderId="0" xfId="2" applyNumberFormat="1" applyFont="1"/>
    <xf numFmtId="173" fontId="1" fillId="3" borderId="0" xfId="0" applyFont="1" applyFill="1"/>
    <xf numFmtId="173" fontId="1" fillId="3" borderId="0" xfId="0" applyNumberFormat="1" applyFont="1" applyFill="1"/>
    <xf numFmtId="173" fontId="1" fillId="3" borderId="0" xfId="2" applyNumberFormat="1" applyFont="1" applyFill="1"/>
    <xf numFmtId="173" fontId="1" fillId="2" borderId="0" xfId="0" applyFont="1" applyFill="1" applyBorder="1"/>
    <xf numFmtId="173" fontId="1" fillId="0" borderId="0" xfId="0" applyFont="1" applyAlignment="1">
      <alignment horizontal="right"/>
    </xf>
    <xf numFmtId="173" fontId="5" fillId="4" borderId="0" xfId="0" applyFont="1" applyFill="1"/>
    <xf numFmtId="10" fontId="1" fillId="0" borderId="0" xfId="2" applyNumberFormat="1" applyFont="1"/>
    <xf numFmtId="173" fontId="1" fillId="0" borderId="0" xfId="0" applyNumberFormat="1" applyFont="1"/>
    <xf numFmtId="165" fontId="1" fillId="0" borderId="0" xfId="1" applyNumberFormat="1" applyFont="1"/>
    <xf numFmtId="165" fontId="1" fillId="0" borderId="0" xfId="0" applyNumberFormat="1" applyFont="1"/>
    <xf numFmtId="165" fontId="1" fillId="0" borderId="0" xfId="0" applyNumberFormat="1" applyFont="1" applyBorder="1"/>
    <xf numFmtId="173" fontId="1" fillId="0" borderId="16" xfId="0" applyFont="1" applyBorder="1"/>
    <xf numFmtId="173" fontId="1" fillId="0" borderId="17" xfId="0" applyFont="1" applyBorder="1"/>
    <xf numFmtId="173" fontId="1" fillId="0" borderId="18" xfId="0" applyFont="1" applyBorder="1"/>
    <xf numFmtId="173" fontId="1" fillId="0" borderId="19" xfId="0" applyNumberFormat="1" applyFont="1" applyBorder="1"/>
    <xf numFmtId="173" fontId="1" fillId="0" borderId="20" xfId="0" applyFont="1" applyBorder="1"/>
    <xf numFmtId="173" fontId="1" fillId="0" borderId="19" xfId="0" applyFont="1" applyBorder="1"/>
    <xf numFmtId="173" fontId="1" fillId="0" borderId="21" xfId="0" applyFont="1" applyBorder="1"/>
    <xf numFmtId="173" fontId="1" fillId="0" borderId="22" xfId="0" applyFont="1" applyBorder="1"/>
    <xf numFmtId="173" fontId="1" fillId="0" borderId="23" xfId="0" applyFont="1" applyBorder="1"/>
    <xf numFmtId="165" fontId="1" fillId="0" borderId="14" xfId="1" applyNumberFormat="1" applyFont="1" applyBorder="1"/>
    <xf numFmtId="173" fontId="1" fillId="0" borderId="14" xfId="0" applyFont="1" applyBorder="1"/>
    <xf numFmtId="173" fontId="1" fillId="0" borderId="14" xfId="1" applyNumberFormat="1" applyFont="1" applyBorder="1"/>
    <xf numFmtId="173" fontId="1" fillId="0" borderId="14" xfId="0" applyNumberFormat="1" applyFont="1" applyBorder="1"/>
    <xf numFmtId="10" fontId="1" fillId="0" borderId="14" xfId="2" applyNumberFormat="1" applyFont="1" applyBorder="1"/>
    <xf numFmtId="173" fontId="1" fillId="0" borderId="0" xfId="1" applyNumberFormat="1" applyFont="1" applyBorder="1"/>
    <xf numFmtId="173" fontId="1" fillId="0" borderId="0" xfId="1" applyNumberFormat="1" applyFont="1" applyBorder="1" applyAlignment="1">
      <alignment horizontal="left"/>
    </xf>
    <xf numFmtId="173" fontId="1" fillId="0" borderId="0" xfId="1" applyNumberFormat="1" applyFont="1" applyBorder="1" applyAlignment="1">
      <alignment horizontal="left"/>
    </xf>
    <xf numFmtId="10" fontId="1" fillId="0" borderId="0" xfId="2" applyNumberFormat="1" applyFont="1" applyBorder="1"/>
    <xf numFmtId="173" fontId="1" fillId="3" borderId="14" xfId="0" applyNumberFormat="1" applyFont="1" applyFill="1" applyBorder="1"/>
    <xf numFmtId="9" fontId="1" fillId="3" borderId="0" xfId="2" applyFont="1" applyFill="1"/>
    <xf numFmtId="9" fontId="1" fillId="0" borderId="1" xfId="2" applyFont="1" applyBorder="1"/>
    <xf numFmtId="9" fontId="1" fillId="0" borderId="4" xfId="2" applyFont="1" applyBorder="1"/>
    <xf numFmtId="3" fontId="1" fillId="0" borderId="0" xfId="0" applyNumberFormat="1" applyFont="1" applyBorder="1"/>
    <xf numFmtId="9" fontId="1" fillId="0" borderId="6" xfId="2" applyFont="1" applyBorder="1"/>
    <xf numFmtId="173" fontId="1" fillId="0" borderId="15" xfId="0" applyNumberFormat="1" applyFont="1" applyBorder="1"/>
    <xf numFmtId="173" fontId="1" fillId="5" borderId="0" xfId="0" applyNumberFormat="1" applyFont="1" applyFill="1"/>
    <xf numFmtId="173" fontId="1" fillId="5" borderId="0" xfId="0" applyFont="1" applyFill="1"/>
    <xf numFmtId="173" fontId="1" fillId="0" borderId="0" xfId="3" applyNumberFormat="1" applyFont="1"/>
    <xf numFmtId="173" fontId="1" fillId="0" borderId="0" xfId="1" applyNumberFormat="1" applyFont="1"/>
    <xf numFmtId="173" fontId="1" fillId="2" borderId="0" xfId="0" applyFont="1" applyFill="1"/>
    <xf numFmtId="173" fontId="5" fillId="6" borderId="0" xfId="0" applyFont="1" applyFill="1"/>
    <xf numFmtId="173" fontId="5" fillId="7" borderId="0" xfId="0" applyFont="1" applyFill="1"/>
    <xf numFmtId="173" fontId="5" fillId="7" borderId="0" xfId="0" applyFont="1" applyFill="1" applyAlignment="1">
      <alignment horizontal="center"/>
    </xf>
    <xf numFmtId="173" fontId="5" fillId="7" borderId="0" xfId="0" applyNumberFormat="1" applyFont="1" applyFill="1"/>
    <xf numFmtId="173" fontId="5" fillId="6" borderId="0" xfId="0" applyNumberFormat="1" applyFont="1" applyFill="1"/>
    <xf numFmtId="167" fontId="1" fillId="0" borderId="0" xfId="2" applyNumberFormat="1" applyFont="1"/>
    <xf numFmtId="167" fontId="1" fillId="0" borderId="0" xfId="0" applyNumberFormat="1" applyFont="1"/>
    <xf numFmtId="173" fontId="1" fillId="0" borderId="14" xfId="0" applyNumberFormat="1" applyFont="1" applyBorder="1"/>
    <xf numFmtId="173" fontId="1" fillId="2" borderId="0" xfId="0" applyNumberFormat="1" applyFont="1" applyFill="1"/>
    <xf numFmtId="173" fontId="1" fillId="0" borderId="0" xfId="0" applyNumberFormat="1" applyFont="1" applyBorder="1"/>
    <xf numFmtId="166" fontId="1" fillId="0" borderId="0" xfId="0" applyNumberFormat="1" applyFont="1"/>
    <xf numFmtId="173" fontId="1" fillId="0" borderId="15" xfId="0" applyFont="1" applyBorder="1"/>
    <xf numFmtId="173" fontId="1" fillId="0" borderId="0" xfId="0" applyNumberFormat="1" applyFont="1" applyBorder="1"/>
    <xf numFmtId="173" fontId="1" fillId="0" borderId="0" xfId="0" applyFont="1" applyFill="1"/>
    <xf numFmtId="173" fontId="10" fillId="0" borderId="0" xfId="0" applyFont="1" applyAlignment="1">
      <alignment vertical="center"/>
    </xf>
    <xf numFmtId="173" fontId="6" fillId="0" borderId="0" xfId="0" applyNumberFormat="1" applyFont="1" applyFill="1"/>
    <xf numFmtId="173" fontId="1" fillId="0" borderId="0" xfId="0" applyNumberFormat="1" applyFont="1" applyFill="1" applyBorder="1"/>
    <xf numFmtId="173" fontId="1" fillId="12" borderId="0" xfId="0" applyFont="1" applyFill="1"/>
    <xf numFmtId="173" fontId="1" fillId="0" borderId="11" xfId="0" applyFont="1" applyBorder="1"/>
    <xf numFmtId="9" fontId="1" fillId="0" borderId="14" xfId="2" applyFont="1" applyBorder="1"/>
    <xf numFmtId="9" fontId="1" fillId="0" borderId="0" xfId="2" applyFont="1" applyBorder="1"/>
    <xf numFmtId="173" fontId="1" fillId="13" borderId="0" xfId="0" applyFont="1" applyFill="1"/>
    <xf numFmtId="173" fontId="1" fillId="13" borderId="0" xfId="0" applyNumberFormat="1" applyFont="1" applyFill="1"/>
    <xf numFmtId="9" fontId="1" fillId="13" borderId="0" xfId="0" applyNumberFormat="1" applyFont="1" applyFill="1"/>
    <xf numFmtId="173" fontId="1" fillId="12" borderId="0" xfId="0" applyNumberFormat="1" applyFont="1" applyFill="1" applyBorder="1"/>
    <xf numFmtId="9" fontId="1" fillId="0" borderId="0" xfId="2" applyFont="1" applyFill="1"/>
    <xf numFmtId="173" fontId="1" fillId="14" borderId="0" xfId="0" applyNumberFormat="1" applyFont="1" applyFill="1"/>
    <xf numFmtId="9" fontId="1" fillId="14" borderId="0" xfId="0" applyNumberFormat="1" applyFont="1" applyFill="1"/>
    <xf numFmtId="173" fontId="1" fillId="14" borderId="0" xfId="0" applyFont="1" applyFill="1"/>
    <xf numFmtId="173" fontId="5" fillId="14" borderId="0" xfId="0" applyFont="1" applyFill="1"/>
    <xf numFmtId="173" fontId="1" fillId="11" borderId="0" xfId="0" applyNumberFormat="1" applyFont="1" applyFill="1"/>
    <xf numFmtId="173" fontId="1" fillId="0" borderId="0" xfId="0" applyFont="1" applyFill="1" applyBorder="1"/>
    <xf numFmtId="9" fontId="1" fillId="0" borderId="0" xfId="2" applyFont="1" applyFill="1" applyBorder="1"/>
    <xf numFmtId="173" fontId="1" fillId="15" borderId="0" xfId="0" applyNumberFormat="1" applyFont="1" applyFill="1"/>
    <xf numFmtId="173" fontId="1" fillId="15" borderId="0" xfId="0" applyFont="1" applyFill="1"/>
    <xf numFmtId="173" fontId="1" fillId="0" borderId="0" xfId="0" quotePrefix="1" applyFont="1"/>
    <xf numFmtId="10" fontId="1" fillId="15" borderId="0" xfId="0" applyNumberFormat="1" applyFont="1" applyFill="1"/>
    <xf numFmtId="166" fontId="1" fillId="3" borderId="0" xfId="0" applyNumberFormat="1" applyFont="1" applyFill="1"/>
    <xf numFmtId="10" fontId="1" fillId="3" borderId="0" xfId="0" applyNumberFormat="1" applyFont="1" applyFill="1"/>
    <xf numFmtId="169" fontId="1" fillId="0" borderId="0" xfId="0" applyNumberFormat="1" applyFont="1"/>
    <xf numFmtId="173" fontId="1" fillId="14" borderId="14" xfId="0" applyFont="1" applyFill="1" applyBorder="1"/>
    <xf numFmtId="173" fontId="13" fillId="0" borderId="0" xfId="0" applyFont="1"/>
    <xf numFmtId="173" fontId="14" fillId="0" borderId="0" xfId="0" applyFont="1"/>
    <xf numFmtId="9" fontId="5" fillId="0" borderId="0" xfId="2" applyFont="1" applyBorder="1"/>
    <xf numFmtId="173" fontId="5" fillId="0" borderId="0" xfId="0" applyNumberFormat="1" applyFont="1" applyBorder="1"/>
    <xf numFmtId="173" fontId="5" fillId="7" borderId="2" xfId="0" applyFont="1" applyFill="1" applyBorder="1"/>
    <xf numFmtId="173" fontId="5" fillId="7" borderId="3" xfId="0" applyFont="1" applyFill="1" applyBorder="1"/>
    <xf numFmtId="173" fontId="1" fillId="0" borderId="4" xfId="0" applyFont="1" applyBorder="1"/>
    <xf numFmtId="173" fontId="5" fillId="7" borderId="0" xfId="0" applyNumberFormat="1" applyFont="1" applyFill="1" applyBorder="1"/>
    <xf numFmtId="173" fontId="5" fillId="7" borderId="0" xfId="0" quotePrefix="1" applyNumberFormat="1" applyFont="1" applyFill="1" applyBorder="1"/>
    <xf numFmtId="173" fontId="1" fillId="0" borderId="0" xfId="0" quotePrefix="1" applyFont="1" applyBorder="1"/>
    <xf numFmtId="173" fontId="5" fillId="7" borderId="5" xfId="0" applyFont="1" applyFill="1" applyBorder="1"/>
    <xf numFmtId="173" fontId="1" fillId="17" borderId="0" xfId="0" applyFont="1" applyFill="1" applyBorder="1"/>
    <xf numFmtId="173" fontId="1" fillId="3" borderId="5" xfId="0" applyFont="1" applyFill="1" applyBorder="1"/>
    <xf numFmtId="9" fontId="1" fillId="17" borderId="0" xfId="0" applyNumberFormat="1" applyFont="1" applyFill="1" applyBorder="1"/>
    <xf numFmtId="173" fontId="1" fillId="17" borderId="0" xfId="0" applyNumberFormat="1" applyFont="1" applyFill="1" applyBorder="1"/>
    <xf numFmtId="9" fontId="1" fillId="3" borderId="0" xfId="0" applyNumberFormat="1" applyFont="1" applyFill="1" applyBorder="1"/>
    <xf numFmtId="173" fontId="1" fillId="3" borderId="5" xfId="0" applyNumberFormat="1" applyFont="1" applyFill="1" applyBorder="1"/>
    <xf numFmtId="9" fontId="1" fillId="16" borderId="0" xfId="0" applyNumberFormat="1" applyFont="1" applyFill="1" applyBorder="1"/>
    <xf numFmtId="173" fontId="1" fillId="16" borderId="0" xfId="0" applyFont="1" applyFill="1" applyBorder="1"/>
    <xf numFmtId="173" fontId="1" fillId="16" borderId="0" xfId="0" applyNumberFormat="1" applyFont="1" applyFill="1" applyBorder="1"/>
    <xf numFmtId="173" fontId="1" fillId="15" borderId="0" xfId="0" applyFont="1" applyFill="1" applyBorder="1"/>
    <xf numFmtId="173" fontId="1" fillId="15" borderId="4" xfId="0" applyFont="1" applyFill="1" applyBorder="1"/>
    <xf numFmtId="166" fontId="1" fillId="15" borderId="0" xfId="2" applyNumberFormat="1" applyFont="1" applyFill="1" applyBorder="1"/>
    <xf numFmtId="173" fontId="1" fillId="15" borderId="0" xfId="0" applyNumberFormat="1" applyFont="1" applyFill="1" applyBorder="1"/>
    <xf numFmtId="9" fontId="1" fillId="15" borderId="0" xfId="0" applyNumberFormat="1" applyFont="1" applyFill="1" applyBorder="1"/>
    <xf numFmtId="173" fontId="1" fillId="0" borderId="4" xfId="0" applyFont="1" applyFill="1" applyBorder="1"/>
    <xf numFmtId="9" fontId="1" fillId="0" borderId="0" xfId="0" applyNumberFormat="1" applyFont="1" applyFill="1" applyBorder="1"/>
    <xf numFmtId="173" fontId="1" fillId="14" borderId="0" xfId="0" applyNumberFormat="1" applyFont="1" applyFill="1" applyBorder="1"/>
    <xf numFmtId="173" fontId="1" fillId="14" borderId="4" xfId="0" applyFont="1" applyFill="1" applyBorder="1"/>
    <xf numFmtId="166" fontId="1" fillId="14" borderId="0" xfId="2" applyNumberFormat="1" applyFont="1" applyFill="1" applyBorder="1"/>
    <xf numFmtId="9" fontId="1" fillId="14" borderId="0" xfId="0" applyNumberFormat="1" applyFont="1" applyFill="1" applyBorder="1"/>
    <xf numFmtId="173" fontId="5" fillId="0" borderId="4" xfId="0" applyFont="1" applyBorder="1"/>
    <xf numFmtId="173" fontId="1" fillId="13" borderId="0" xfId="0" applyFont="1" applyFill="1" applyBorder="1"/>
    <xf numFmtId="173" fontId="1" fillId="13" borderId="4" xfId="0" applyFont="1" applyFill="1" applyBorder="1"/>
    <xf numFmtId="166" fontId="1" fillId="13" borderId="0" xfId="2" applyNumberFormat="1" applyFont="1" applyFill="1" applyBorder="1"/>
    <xf numFmtId="173" fontId="1" fillId="13" borderId="0" xfId="0" applyNumberFormat="1" applyFont="1" applyFill="1" applyBorder="1"/>
    <xf numFmtId="9" fontId="1" fillId="13" borderId="0" xfId="0" applyNumberFormat="1" applyFont="1" applyFill="1" applyBorder="1"/>
    <xf numFmtId="9" fontId="1" fillId="12" borderId="0" xfId="0" applyNumberFormat="1" applyFont="1" applyFill="1" applyBorder="1"/>
    <xf numFmtId="173" fontId="1" fillId="12" borderId="0" xfId="0" applyFont="1" applyFill="1" applyBorder="1"/>
    <xf numFmtId="173" fontId="1" fillId="20" borderId="0" xfId="0" applyFont="1" applyFill="1" applyBorder="1"/>
    <xf numFmtId="9" fontId="1" fillId="20" borderId="0" xfId="0" applyNumberFormat="1" applyFont="1" applyFill="1" applyBorder="1"/>
    <xf numFmtId="173" fontId="1" fillId="20" borderId="0" xfId="0" applyNumberFormat="1" applyFont="1" applyFill="1" applyBorder="1"/>
    <xf numFmtId="173" fontId="1" fillId="0" borderId="6" xfId="0" applyFont="1" applyBorder="1"/>
    <xf numFmtId="173" fontId="5" fillId="7" borderId="7" xfId="0" applyNumberFormat="1" applyFont="1" applyFill="1" applyBorder="1"/>
    <xf numFmtId="173" fontId="5" fillId="7" borderId="7" xfId="0" applyFont="1" applyFill="1" applyBorder="1"/>
    <xf numFmtId="173" fontId="5" fillId="7" borderId="8" xfId="0" applyNumberFormat="1" applyFont="1" applyFill="1" applyBorder="1"/>
    <xf numFmtId="166" fontId="1" fillId="0" borderId="0" xfId="2" applyNumberFormat="1" applyFont="1"/>
    <xf numFmtId="166" fontId="1" fillId="0" borderId="0" xfId="0" applyNumberFormat="1" applyFont="1" applyFill="1"/>
    <xf numFmtId="173" fontId="1" fillId="0" borderId="5" xfId="0" applyFont="1" applyFill="1" applyBorder="1"/>
    <xf numFmtId="166" fontId="1" fillId="5" borderId="4" xfId="2" applyNumberFormat="1" applyFont="1" applyFill="1" applyBorder="1"/>
    <xf numFmtId="173" fontId="1" fillId="5" borderId="5" xfId="0" applyNumberFormat="1" applyFont="1" applyFill="1" applyBorder="1"/>
    <xf numFmtId="166" fontId="1" fillId="3" borderId="4" xfId="2" applyNumberFormat="1" applyFont="1" applyFill="1" applyBorder="1"/>
    <xf numFmtId="173" fontId="1" fillId="5" borderId="5" xfId="0" applyFont="1" applyFill="1" applyBorder="1"/>
    <xf numFmtId="9" fontId="1" fillId="5" borderId="0" xfId="0" applyNumberFormat="1" applyFont="1" applyFill="1" applyBorder="1"/>
    <xf numFmtId="173" fontId="5" fillId="18" borderId="3" xfId="0" applyFont="1" applyFill="1" applyBorder="1"/>
    <xf numFmtId="173" fontId="5" fillId="18" borderId="5" xfId="0" applyFont="1" applyFill="1" applyBorder="1"/>
    <xf numFmtId="173" fontId="5" fillId="18" borderId="8" xfId="0" applyNumberFormat="1" applyFont="1" applyFill="1" applyBorder="1"/>
    <xf numFmtId="173" fontId="5" fillId="7" borderId="1" xfId="0" applyFont="1" applyFill="1" applyBorder="1"/>
    <xf numFmtId="173" fontId="5" fillId="7" borderId="4" xfId="0" applyFont="1" applyFill="1" applyBorder="1"/>
    <xf numFmtId="173" fontId="5" fillId="18" borderId="1" xfId="0" applyFont="1" applyFill="1" applyBorder="1"/>
    <xf numFmtId="173" fontId="5" fillId="18" borderId="4" xfId="0" applyFont="1" applyFill="1" applyBorder="1"/>
    <xf numFmtId="173" fontId="1" fillId="0" borderId="4" xfId="0" quotePrefix="1" applyFont="1" applyBorder="1"/>
    <xf numFmtId="9" fontId="1" fillId="5" borderId="4" xfId="0" applyNumberFormat="1" applyFont="1" applyFill="1" applyBorder="1"/>
    <xf numFmtId="173" fontId="5" fillId="7" borderId="6" xfId="0" applyFont="1" applyFill="1" applyBorder="1"/>
    <xf numFmtId="173" fontId="5" fillId="7" borderId="5" xfId="0" applyNumberFormat="1" applyFont="1" applyFill="1" applyBorder="1"/>
    <xf numFmtId="173" fontId="5" fillId="19" borderId="0" xfId="0" applyFont="1" applyFill="1"/>
    <xf numFmtId="173" fontId="5" fillId="19" borderId="13" xfId="0" applyNumberFormat="1" applyFont="1" applyFill="1" applyBorder="1"/>
    <xf numFmtId="173" fontId="5" fillId="19" borderId="0" xfId="0" applyNumberFormat="1" applyFont="1" applyFill="1"/>
    <xf numFmtId="9" fontId="5" fillId="19" borderId="13" xfId="2" applyFont="1" applyFill="1" applyBorder="1"/>
    <xf numFmtId="171" fontId="1" fillId="0" borderId="0" xfId="0" applyNumberFormat="1" applyFont="1"/>
    <xf numFmtId="9" fontId="1" fillId="2" borderId="0" xfId="0" applyNumberFormat="1" applyFont="1" applyFill="1"/>
    <xf numFmtId="173" fontId="1" fillId="22" borderId="0" xfId="0" applyFont="1" applyFill="1"/>
    <xf numFmtId="173" fontId="1" fillId="23" borderId="0" xfId="0" applyFont="1" applyFill="1"/>
    <xf numFmtId="173" fontId="1" fillId="23" borderId="0" xfId="2" applyNumberFormat="1" applyFont="1" applyFill="1"/>
    <xf numFmtId="173" fontId="1" fillId="3" borderId="0" xfId="0" applyFont="1" applyFill="1" applyAlignment="1">
      <alignment horizontal="center"/>
    </xf>
    <xf numFmtId="173" fontId="1" fillId="24" borderId="0" xfId="0" applyFont="1" applyFill="1"/>
    <xf numFmtId="173" fontId="5" fillId="24" borderId="0" xfId="0" applyNumberFormat="1" applyFont="1" applyFill="1"/>
    <xf numFmtId="173" fontId="5" fillId="24" borderId="0" xfId="0" applyFont="1" applyFill="1"/>
    <xf numFmtId="9" fontId="5" fillId="6" borderId="0" xfId="0" applyNumberFormat="1" applyFont="1" applyFill="1"/>
    <xf numFmtId="10" fontId="1" fillId="12" borderId="0" xfId="0" applyNumberFormat="1" applyFont="1" applyFill="1"/>
    <xf numFmtId="167" fontId="1" fillId="12" borderId="0" xfId="2" applyNumberFormat="1" applyFont="1" applyFill="1"/>
    <xf numFmtId="170" fontId="1" fillId="12" borderId="0" xfId="0" applyNumberFormat="1" applyFont="1" applyFill="1"/>
    <xf numFmtId="173" fontId="6" fillId="2" borderId="0" xfId="0" applyNumberFormat="1" applyFont="1" applyFill="1"/>
    <xf numFmtId="173" fontId="6" fillId="2" borderId="0" xfId="0" applyFont="1" applyFill="1"/>
    <xf numFmtId="173" fontId="6" fillId="22" borderId="0" xfId="0" applyNumberFormat="1" applyFont="1" applyFill="1"/>
    <xf numFmtId="173" fontId="6" fillId="22" borderId="0" xfId="0" applyFont="1" applyFill="1"/>
    <xf numFmtId="173" fontId="1" fillId="22" borderId="0" xfId="0" applyNumberFormat="1" applyFont="1" applyFill="1"/>
    <xf numFmtId="171" fontId="6" fillId="23" borderId="0" xfId="0" applyNumberFormat="1" applyFont="1" applyFill="1"/>
    <xf numFmtId="173" fontId="6" fillId="23" borderId="0" xfId="0" applyFont="1" applyFill="1"/>
    <xf numFmtId="173" fontId="1" fillId="2" borderId="15" xfId="0" applyNumberFormat="1" applyFont="1" applyFill="1" applyBorder="1"/>
    <xf numFmtId="173" fontId="5" fillId="21" borderId="0" xfId="0" applyFont="1" applyFill="1"/>
    <xf numFmtId="173" fontId="5" fillId="21" borderId="0" xfId="0" applyNumberFormat="1" applyFont="1" applyFill="1"/>
    <xf numFmtId="9" fontId="5" fillId="7" borderId="0" xfId="2" applyFont="1" applyFill="1"/>
    <xf numFmtId="173" fontId="15" fillId="14" borderId="15" xfId="0" applyNumberFormat="1" applyFont="1" applyFill="1" applyBorder="1"/>
    <xf numFmtId="10" fontId="1" fillId="0" borderId="15" xfId="0" applyNumberFormat="1" applyFont="1" applyBorder="1"/>
    <xf numFmtId="173" fontId="16" fillId="0" borderId="0" xfId="0" applyFont="1"/>
    <xf numFmtId="173" fontId="15" fillId="0" borderId="0" xfId="0" applyFont="1"/>
    <xf numFmtId="173" fontId="1" fillId="0" borderId="0" xfId="0" applyNumberFormat="1" applyFont="1"/>
    <xf numFmtId="166" fontId="1" fillId="0" borderId="0" xfId="0" applyNumberFormat="1" applyFont="1" applyBorder="1"/>
    <xf numFmtId="9" fontId="1" fillId="0" borderId="0" xfId="0" applyNumberFormat="1" applyFont="1" applyBorder="1"/>
    <xf numFmtId="9" fontId="1" fillId="0" borderId="25" xfId="0" applyNumberFormat="1" applyFont="1" applyBorder="1"/>
    <xf numFmtId="15" fontId="1" fillId="0" borderId="0" xfId="0" applyNumberFormat="1" applyFont="1"/>
    <xf numFmtId="17" fontId="1" fillId="0" borderId="0" xfId="0" applyNumberFormat="1" applyFont="1"/>
    <xf numFmtId="173" fontId="10" fillId="0" borderId="0" xfId="0" applyFont="1" applyAlignment="1">
      <alignment vertical="center" wrapText="1"/>
    </xf>
    <xf numFmtId="173" fontId="3" fillId="0" borderId="0" xfId="0" applyNumberFormat="1" applyFont="1"/>
    <xf numFmtId="173" fontId="5" fillId="25" borderId="0" xfId="0" applyFont="1" applyFill="1"/>
    <xf numFmtId="173" fontId="5" fillId="25" borderId="0" xfId="0" applyNumberFormat="1" applyFont="1" applyFill="1"/>
    <xf numFmtId="173" fontId="6" fillId="16" borderId="0" xfId="0" applyFont="1" applyFill="1"/>
    <xf numFmtId="9" fontId="6" fillId="16" borderId="0" xfId="0" applyNumberFormat="1" applyFont="1" applyFill="1"/>
    <xf numFmtId="173" fontId="6" fillId="16" borderId="0" xfId="0" applyNumberFormat="1" applyFont="1" applyFill="1"/>
    <xf numFmtId="173" fontId="1" fillId="16" borderId="0" xfId="0" applyFont="1" applyFill="1"/>
    <xf numFmtId="173" fontId="1" fillId="0" borderId="0" xfId="0" applyFont="1" applyAlignment="1"/>
    <xf numFmtId="173" fontId="1" fillId="16" borderId="0" xfId="0" applyNumberFormat="1" applyFont="1" applyFill="1"/>
    <xf numFmtId="173" fontId="1" fillId="27" borderId="0" xfId="0" applyFont="1" applyFill="1"/>
    <xf numFmtId="173" fontId="1" fillId="28" borderId="0" xfId="0" applyFont="1" applyFill="1"/>
    <xf numFmtId="173" fontId="1" fillId="23" borderId="0" xfId="0" applyFont="1" applyFill="1" applyAlignment="1">
      <alignment horizontal="center"/>
    </xf>
    <xf numFmtId="173" fontId="1" fillId="12" borderId="0" xfId="0" applyFont="1" applyFill="1" applyAlignment="1">
      <alignment horizontal="center"/>
    </xf>
    <xf numFmtId="173" fontId="1" fillId="0" borderId="0" xfId="0" applyFont="1" applyFill="1" applyAlignment="1">
      <alignment horizontal="center"/>
    </xf>
    <xf numFmtId="173" fontId="17" fillId="6" borderId="0" xfId="0" applyFont="1" applyFill="1" applyAlignment="1"/>
    <xf numFmtId="173" fontId="1" fillId="3" borderId="0" xfId="0" applyFont="1" applyFill="1" applyBorder="1"/>
    <xf numFmtId="173" fontId="1" fillId="26" borderId="0" xfId="0" applyFont="1" applyFill="1"/>
    <xf numFmtId="173" fontId="1" fillId="29" borderId="0" xfId="0" applyFont="1" applyFill="1"/>
    <xf numFmtId="173" fontId="1" fillId="7" borderId="0" xfId="0" applyFont="1" applyFill="1"/>
    <xf numFmtId="173" fontId="1" fillId="33" borderId="0" xfId="0" applyFont="1" applyFill="1"/>
    <xf numFmtId="173" fontId="1" fillId="33" borderId="0" xfId="0" applyFont="1" applyFill="1" applyAlignment="1">
      <alignment horizontal="center"/>
    </xf>
    <xf numFmtId="173" fontId="1" fillId="32" borderId="0" xfId="0" applyFont="1" applyFill="1" applyAlignment="1">
      <alignment horizontal="center"/>
    </xf>
    <xf numFmtId="173" fontId="1" fillId="29" borderId="0" xfId="0" applyFont="1" applyFill="1" applyAlignment="1">
      <alignment horizontal="center"/>
    </xf>
    <xf numFmtId="173" fontId="5" fillId="9" borderId="0" xfId="0" applyFont="1" applyFill="1" applyAlignment="1">
      <alignment horizontal="center"/>
    </xf>
    <xf numFmtId="173" fontId="5" fillId="31" borderId="0" xfId="0" applyFont="1" applyFill="1" applyBorder="1"/>
    <xf numFmtId="173" fontId="1" fillId="23" borderId="0" xfId="0" applyFont="1" applyFill="1" applyBorder="1"/>
    <xf numFmtId="173" fontId="1" fillId="13" borderId="0" xfId="0" applyFont="1" applyFill="1" applyAlignment="1">
      <alignment horizontal="center"/>
    </xf>
    <xf numFmtId="173" fontId="1" fillId="30" borderId="0" xfId="0" applyFont="1" applyFill="1" applyAlignment="1">
      <alignment horizontal="center"/>
    </xf>
    <xf numFmtId="173" fontId="6" fillId="33" borderId="0" xfId="0" applyFont="1" applyFill="1"/>
    <xf numFmtId="173" fontId="1" fillId="28" borderId="0" xfId="0" applyFont="1" applyFill="1" applyBorder="1"/>
    <xf numFmtId="173" fontId="1" fillId="30" borderId="0" xfId="0" applyFont="1" applyFill="1"/>
    <xf numFmtId="173" fontId="5" fillId="0" borderId="0" xfId="0" applyFont="1" applyFill="1" applyBorder="1"/>
    <xf numFmtId="173" fontId="5" fillId="0" borderId="0" xfId="0" applyFont="1" applyFill="1"/>
    <xf numFmtId="173" fontId="6" fillId="0" borderId="0" xfId="0" applyFont="1" applyFill="1"/>
    <xf numFmtId="173" fontId="6" fillId="0" borderId="0" xfId="0" applyFont="1"/>
    <xf numFmtId="173" fontId="6" fillId="0" borderId="0" xfId="0" applyFont="1" applyFill="1" applyBorder="1"/>
    <xf numFmtId="173" fontId="6" fillId="14" borderId="0" xfId="0" applyFont="1" applyFill="1"/>
    <xf numFmtId="173" fontId="6" fillId="32" borderId="0" xfId="0" applyFont="1" applyFill="1"/>
    <xf numFmtId="173" fontId="5" fillId="31" borderId="0" xfId="0" applyFont="1" applyFill="1" applyAlignment="1">
      <alignment horizontal="center"/>
    </xf>
    <xf numFmtId="173" fontId="15" fillId="32" borderId="0" xfId="0" applyFont="1" applyFill="1" applyBorder="1"/>
    <xf numFmtId="173" fontId="15" fillId="32" borderId="0" xfId="0" applyFont="1" applyFill="1"/>
    <xf numFmtId="173" fontId="18" fillId="32" borderId="0" xfId="0" applyFont="1" applyFill="1"/>
    <xf numFmtId="173" fontId="19" fillId="6" borderId="0" xfId="0" applyFont="1" applyFill="1" applyAlignment="1">
      <alignment horizontal="center"/>
    </xf>
    <xf numFmtId="173" fontId="20" fillId="6" borderId="0" xfId="0" applyFont="1" applyFill="1" applyAlignment="1">
      <alignment horizontal="center"/>
    </xf>
    <xf numFmtId="173" fontId="21" fillId="6" borderId="0" xfId="0" applyFont="1" applyFill="1" applyAlignment="1">
      <alignment horizontal="center"/>
    </xf>
    <xf numFmtId="173" fontId="22" fillId="6" borderId="0" xfId="0" applyFont="1" applyFill="1" applyAlignment="1">
      <alignment horizontal="center"/>
    </xf>
    <xf numFmtId="173" fontId="23" fillId="6" borderId="0" xfId="0" applyFont="1" applyFill="1" applyAlignment="1">
      <alignment horizontal="center"/>
    </xf>
    <xf numFmtId="173" fontId="24" fillId="6" borderId="0" xfId="0" applyFont="1" applyFill="1" applyAlignment="1">
      <alignment horizontal="center"/>
    </xf>
    <xf numFmtId="173" fontId="25" fillId="6" borderId="0" xfId="0" applyFont="1" applyFill="1" applyAlignment="1">
      <alignment horizontal="center"/>
    </xf>
    <xf numFmtId="173" fontId="26" fillId="6" borderId="0" xfId="0" applyFont="1" applyFill="1" applyAlignment="1">
      <alignment horizontal="center"/>
    </xf>
    <xf numFmtId="173" fontId="17" fillId="6" borderId="0" xfId="0" applyFont="1" applyFill="1" applyAlignment="1">
      <alignment horizontal="left"/>
    </xf>
    <xf numFmtId="173" fontId="1" fillId="32" borderId="0" xfId="0" applyFont="1" applyFill="1" applyBorder="1" applyAlignment="1">
      <alignment horizontal="center"/>
    </xf>
    <xf numFmtId="173" fontId="5" fillId="31" borderId="0" xfId="0" applyFont="1" applyFill="1" applyBorder="1" applyAlignment="1">
      <alignment horizontal="center"/>
    </xf>
    <xf numFmtId="173" fontId="1" fillId="23" borderId="0" xfId="0" applyFont="1" applyFill="1" applyBorder="1" applyAlignment="1">
      <alignment horizontal="center"/>
    </xf>
    <xf numFmtId="173" fontId="1" fillId="28" borderId="0" xfId="0" applyFont="1" applyFill="1" applyBorder="1" applyAlignment="1">
      <alignment horizontal="center"/>
    </xf>
    <xf numFmtId="173" fontId="1" fillId="13" borderId="0" xfId="0" applyFont="1" applyFill="1" applyBorder="1" applyAlignment="1">
      <alignment horizontal="center"/>
    </xf>
    <xf numFmtId="173" fontId="6" fillId="23" borderId="0" xfId="0" applyFont="1" applyFill="1" applyAlignment="1">
      <alignment horizontal="center"/>
    </xf>
    <xf numFmtId="173" fontId="6" fillId="33" borderId="0" xfId="0" applyFont="1" applyFill="1" applyAlignment="1">
      <alignment horizontal="center"/>
    </xf>
    <xf numFmtId="173" fontId="6" fillId="28" borderId="0" xfId="0" applyFont="1" applyFill="1" applyAlignment="1">
      <alignment horizontal="center"/>
    </xf>
    <xf numFmtId="173" fontId="1" fillId="0" borderId="0" xfId="0" applyFont="1" applyFill="1" applyBorder="1" applyAlignment="1">
      <alignment horizontal="center"/>
    </xf>
    <xf numFmtId="173" fontId="6" fillId="32" borderId="0" xfId="0" applyFont="1" applyFill="1" applyBorder="1"/>
    <xf numFmtId="173" fontId="1" fillId="0" borderId="0" xfId="0" applyFont="1" applyAlignment="1">
      <alignment wrapText="1"/>
    </xf>
    <xf numFmtId="173" fontId="1" fillId="30" borderId="0" xfId="0" applyNumberFormat="1" applyFont="1" applyFill="1"/>
    <xf numFmtId="173" fontId="27" fillId="23" borderId="0" xfId="0" applyFont="1" applyFill="1" applyAlignment="1">
      <alignment horizontal="right"/>
    </xf>
    <xf numFmtId="173" fontId="27" fillId="23" borderId="0" xfId="0" applyNumberFormat="1" applyFont="1" applyFill="1" applyAlignment="1">
      <alignment horizontal="center"/>
    </xf>
    <xf numFmtId="165" fontId="3" fillId="0" borderId="0" xfId="1" applyNumberFormat="1" applyFont="1"/>
    <xf numFmtId="173" fontId="3" fillId="0" borderId="0" xfId="0" applyFont="1" applyAlignment="1">
      <alignment horizontal="center"/>
    </xf>
    <xf numFmtId="173" fontId="1" fillId="0" borderId="0" xfId="0" applyFont="1" applyBorder="1" applyAlignment="1">
      <alignment horizontal="center"/>
    </xf>
    <xf numFmtId="165" fontId="1" fillId="0" borderId="0" xfId="1" applyNumberFormat="1" applyFont="1" applyAlignment="1">
      <alignment horizontal="center"/>
    </xf>
    <xf numFmtId="173" fontId="3" fillId="0" borderId="0" xfId="0" applyNumberFormat="1" applyFont="1" applyAlignment="1">
      <alignment horizontal="right"/>
    </xf>
    <xf numFmtId="165" fontId="11" fillId="0" borderId="0" xfId="1" applyNumberFormat="1" applyFont="1" applyAlignment="1">
      <alignment horizontal="right"/>
    </xf>
    <xf numFmtId="173" fontId="30" fillId="0" borderId="0" xfId="0" applyFont="1"/>
    <xf numFmtId="173" fontId="29" fillId="0" borderId="0" xfId="0" applyNumberFormat="1" applyFont="1"/>
    <xf numFmtId="173" fontId="1" fillId="0" borderId="15" xfId="0" applyNumberFormat="1" applyFont="1" applyBorder="1" applyAlignment="1">
      <alignment horizontal="center"/>
    </xf>
    <xf numFmtId="173" fontId="1" fillId="30" borderId="15" xfId="0" applyNumberFormat="1" applyFont="1" applyFill="1" applyBorder="1" applyAlignment="1">
      <alignment horizontal="center"/>
    </xf>
    <xf numFmtId="173" fontId="1" fillId="0" borderId="0" xfId="1" applyNumberFormat="1" applyFont="1"/>
    <xf numFmtId="173" fontId="1" fillId="0" borderId="0" xfId="0" applyNumberFormat="1" applyFont="1" applyAlignment="1">
      <alignment horizontal="right"/>
    </xf>
    <xf numFmtId="173" fontId="1" fillId="30" borderId="0" xfId="3" applyNumberFormat="1" applyFont="1" applyFill="1"/>
    <xf numFmtId="9" fontId="1" fillId="30" borderId="0" xfId="0" applyNumberFormat="1" applyFont="1" applyFill="1"/>
    <xf numFmtId="173" fontId="1" fillId="30" borderId="0" xfId="0" applyNumberFormat="1" applyFont="1" applyFill="1" applyAlignment="1">
      <alignment horizontal="center"/>
    </xf>
    <xf numFmtId="173" fontId="1" fillId="35" borderId="0" xfId="3" applyNumberFormat="1" applyFont="1" applyFill="1"/>
    <xf numFmtId="173" fontId="5" fillId="7" borderId="2" xfId="0" applyFont="1" applyFill="1" applyBorder="1" applyAlignment="1">
      <alignment horizontal="center"/>
    </xf>
    <xf numFmtId="173" fontId="5" fillId="7" borderId="0" xfId="0" applyFont="1" applyFill="1" applyBorder="1" applyAlignment="1">
      <alignment horizontal="center"/>
    </xf>
    <xf numFmtId="173" fontId="5" fillId="7" borderId="8" xfId="0" applyFont="1" applyFill="1" applyBorder="1"/>
    <xf numFmtId="173" fontId="5" fillId="6" borderId="0" xfId="0" applyFont="1" applyFill="1" applyAlignment="1">
      <alignment horizontal="center"/>
    </xf>
    <xf numFmtId="173" fontId="5" fillId="6" borderId="0" xfId="0" applyNumberFormat="1" applyFont="1" applyFill="1"/>
    <xf numFmtId="165" fontId="1" fillId="0" borderId="0" xfId="1" applyNumberFormat="1" applyFont="1" applyBorder="1" applyAlignment="1">
      <alignment horizontal="center"/>
    </xf>
    <xf numFmtId="165" fontId="11" fillId="0" borderId="0" xfId="1" applyNumberFormat="1" applyFont="1" applyBorder="1"/>
    <xf numFmtId="173" fontId="3" fillId="0" borderId="0" xfId="0" applyNumberFormat="1" applyFont="1" applyBorder="1"/>
    <xf numFmtId="165" fontId="3" fillId="0" borderId="0" xfId="1" applyNumberFormat="1" applyFont="1" applyBorder="1"/>
    <xf numFmtId="165" fontId="1" fillId="0" borderId="0" xfId="1" applyNumberFormat="1" applyFont="1" applyAlignment="1">
      <alignment horizontal="right"/>
    </xf>
    <xf numFmtId="173" fontId="33" fillId="0" borderId="0" xfId="1" applyNumberFormat="1" applyFont="1" applyAlignment="1">
      <alignment horizontal="right"/>
    </xf>
    <xf numFmtId="173" fontId="5" fillId="25" borderId="24" xfId="0" applyFont="1" applyFill="1" applyBorder="1"/>
    <xf numFmtId="173" fontId="5" fillId="25" borderId="24" xfId="0" applyNumberFormat="1" applyFont="1" applyFill="1" applyBorder="1"/>
    <xf numFmtId="173" fontId="5" fillId="25" borderId="24" xfId="0" applyNumberFormat="1" applyFont="1" applyFill="1" applyBorder="1" applyAlignment="1">
      <alignment horizontal="center"/>
    </xf>
    <xf numFmtId="173" fontId="1" fillId="0" borderId="0" xfId="0" applyNumberFormat="1" applyFont="1" applyAlignment="1">
      <alignment horizontal="center"/>
    </xf>
    <xf numFmtId="9" fontId="5" fillId="25" borderId="0" xfId="0" applyNumberFormat="1" applyFont="1" applyFill="1" applyAlignment="1">
      <alignment horizontal="center"/>
    </xf>
    <xf numFmtId="173" fontId="5" fillId="25" borderId="0" xfId="0" applyNumberFormat="1" applyFont="1" applyFill="1" applyAlignment="1">
      <alignment horizontal="center"/>
    </xf>
    <xf numFmtId="173" fontId="5" fillId="7" borderId="0" xfId="0" applyNumberFormat="1" applyFont="1" applyFill="1" applyAlignment="1">
      <alignment horizontal="center"/>
    </xf>
    <xf numFmtId="9" fontId="5" fillId="7" borderId="0" xfId="0" applyNumberFormat="1" applyFont="1" applyFill="1" applyAlignment="1">
      <alignment horizontal="center"/>
    </xf>
    <xf numFmtId="9" fontId="34" fillId="0" borderId="0" xfId="2" applyFont="1"/>
    <xf numFmtId="9" fontId="34" fillId="0" borderId="0" xfId="0" applyNumberFormat="1" applyFont="1"/>
    <xf numFmtId="173" fontId="11" fillId="0" borderId="0" xfId="0" applyFont="1"/>
    <xf numFmtId="165" fontId="5" fillId="7" borderId="0" xfId="1" applyNumberFormat="1" applyFont="1" applyFill="1" applyAlignment="1">
      <alignment horizontal="right"/>
    </xf>
    <xf numFmtId="173" fontId="1" fillId="25" borderId="1" xfId="0" applyFont="1" applyFill="1" applyBorder="1"/>
    <xf numFmtId="173" fontId="1" fillId="25" borderId="3" xfId="0" applyFont="1" applyFill="1" applyBorder="1"/>
    <xf numFmtId="9" fontId="5" fillId="25" borderId="4" xfId="0" applyNumberFormat="1" applyFont="1" applyFill="1" applyBorder="1"/>
    <xf numFmtId="173" fontId="5" fillId="25" borderId="5" xfId="0" applyFont="1" applyFill="1" applyBorder="1"/>
    <xf numFmtId="173" fontId="5" fillId="25" borderId="4" xfId="0" applyFont="1" applyFill="1" applyBorder="1"/>
    <xf numFmtId="173" fontId="5" fillId="25" borderId="12" xfId="0" applyNumberFormat="1" applyFont="1" applyFill="1" applyBorder="1"/>
    <xf numFmtId="173" fontId="5" fillId="25" borderId="8" xfId="0" applyFont="1" applyFill="1" applyBorder="1"/>
    <xf numFmtId="9" fontId="5" fillId="21" borderId="0" xfId="0" applyNumberFormat="1" applyFont="1" applyFill="1"/>
    <xf numFmtId="173" fontId="5" fillId="7" borderId="0" xfId="0" applyFont="1" applyFill="1" applyAlignment="1">
      <alignment horizontal="right"/>
    </xf>
    <xf numFmtId="9" fontId="5" fillId="7" borderId="0" xfId="2" applyNumberFormat="1" applyFont="1" applyFill="1" applyAlignment="1">
      <alignment horizontal="center"/>
    </xf>
    <xf numFmtId="173" fontId="37" fillId="7" borderId="0" xfId="0" applyFont="1" applyFill="1"/>
    <xf numFmtId="173" fontId="37" fillId="7" borderId="0" xfId="0" applyFont="1" applyFill="1" applyAlignment="1">
      <alignment horizontal="right"/>
    </xf>
    <xf numFmtId="173" fontId="36" fillId="0" borderId="0" xfId="0" applyFont="1" applyAlignment="1">
      <alignment horizontal="right"/>
    </xf>
    <xf numFmtId="2" fontId="1" fillId="0" borderId="0" xfId="0" applyNumberFormat="1" applyFont="1"/>
    <xf numFmtId="172" fontId="1" fillId="0" borderId="0" xfId="0" applyNumberFormat="1" applyFont="1"/>
    <xf numFmtId="172" fontId="35" fillId="0" borderId="0" xfId="0" applyNumberFormat="1" applyFont="1"/>
    <xf numFmtId="173" fontId="1" fillId="23" borderId="0" xfId="0" applyNumberFormat="1" applyFont="1" applyFill="1"/>
    <xf numFmtId="173" fontId="1" fillId="3" borderId="0" xfId="3" applyNumberFormat="1" applyFont="1" applyFill="1"/>
    <xf numFmtId="173" fontId="1" fillId="3" borderId="0" xfId="0" applyNumberFormat="1" applyFont="1" applyFill="1"/>
    <xf numFmtId="173" fontId="1" fillId="29" borderId="0" xfId="0" applyNumberFormat="1" applyFont="1" applyFill="1"/>
    <xf numFmtId="173" fontId="1" fillId="26" borderId="0" xfId="0" applyNumberFormat="1" applyFont="1" applyFill="1"/>
    <xf numFmtId="173" fontId="1" fillId="0" borderId="0" xfId="0" applyNumberFormat="1" applyFont="1" applyFill="1"/>
    <xf numFmtId="173" fontId="1" fillId="23" borderId="0" xfId="0" applyNumberFormat="1" applyFont="1" applyFill="1"/>
    <xf numFmtId="173" fontId="1" fillId="24" borderId="14" xfId="0" applyNumberFormat="1" applyFont="1" applyFill="1" applyBorder="1"/>
    <xf numFmtId="173" fontId="1" fillId="24" borderId="14" xfId="0" applyFont="1" applyFill="1" applyBorder="1"/>
    <xf numFmtId="43" fontId="5" fillId="7" borderId="0" xfId="1" applyFont="1" applyFill="1"/>
    <xf numFmtId="9" fontId="5" fillId="7" borderId="0" xfId="1" applyNumberFormat="1" applyFont="1" applyFill="1"/>
    <xf numFmtId="43" fontId="5" fillId="7" borderId="0" xfId="0" applyNumberFormat="1" applyFont="1" applyFill="1"/>
    <xf numFmtId="173" fontId="6" fillId="24" borderId="0" xfId="0" applyNumberFormat="1" applyFont="1" applyFill="1"/>
    <xf numFmtId="173" fontId="1" fillId="29" borderId="14" xfId="0" applyNumberFormat="1" applyFont="1" applyFill="1" applyBorder="1"/>
    <xf numFmtId="173" fontId="6" fillId="24" borderId="0" xfId="0" applyFont="1" applyFill="1"/>
    <xf numFmtId="2" fontId="5" fillId="7" borderId="0" xfId="0" applyNumberFormat="1" applyFont="1" applyFill="1"/>
    <xf numFmtId="173" fontId="5" fillId="7" borderId="14" xfId="0" applyFont="1" applyFill="1" applyBorder="1"/>
    <xf numFmtId="173" fontId="5" fillId="7" borderId="14" xfId="0" applyNumberFormat="1" applyFont="1" applyFill="1" applyBorder="1"/>
    <xf numFmtId="167" fontId="1" fillId="29" borderId="0" xfId="0" applyNumberFormat="1" applyFont="1" applyFill="1"/>
    <xf numFmtId="166" fontId="1" fillId="29" borderId="0" xfId="0" applyNumberFormat="1" applyFont="1" applyFill="1"/>
    <xf numFmtId="173" fontId="1" fillId="15" borderId="0" xfId="0" applyFont="1" applyFill="1" applyAlignment="1">
      <alignment horizontal="right"/>
    </xf>
    <xf numFmtId="173" fontId="1" fillId="0" borderId="0" xfId="0" applyFont="1" applyFill="1" applyAlignment="1">
      <alignment horizontal="right"/>
    </xf>
    <xf numFmtId="173" fontId="1" fillId="27" borderId="0" xfId="0" applyNumberFormat="1" applyFont="1" applyFill="1"/>
    <xf numFmtId="173" fontId="1" fillId="29" borderId="0" xfId="0" applyNumberFormat="1" applyFont="1" applyFill="1" applyBorder="1"/>
    <xf numFmtId="173" fontId="1" fillId="0" borderId="0" xfId="0" applyFont="1" applyFill="1" applyBorder="1" applyAlignment="1">
      <alignment horizontal="right"/>
    </xf>
    <xf numFmtId="166" fontId="1" fillId="0" borderId="0" xfId="0" applyNumberFormat="1" applyFont="1" applyFill="1" applyBorder="1"/>
    <xf numFmtId="173" fontId="1" fillId="29" borderId="0" xfId="0" applyNumberFormat="1" applyFont="1" applyFill="1"/>
    <xf numFmtId="173" fontId="35" fillId="0" borderId="0" xfId="0" applyNumberFormat="1" applyFont="1"/>
    <xf numFmtId="173" fontId="1" fillId="16" borderId="14" xfId="0" applyNumberFormat="1" applyFont="1" applyFill="1" applyBorder="1"/>
    <xf numFmtId="173" fontId="1" fillId="16" borderId="14" xfId="0" applyFont="1" applyFill="1" applyBorder="1"/>
    <xf numFmtId="173" fontId="1" fillId="16" borderId="14" xfId="0" applyNumberFormat="1" applyFont="1" applyFill="1" applyBorder="1"/>
    <xf numFmtId="173" fontId="1" fillId="0" borderId="0" xfId="0" applyNumberFormat="1" applyFont="1" applyFill="1" applyBorder="1"/>
    <xf numFmtId="173" fontId="1" fillId="27" borderId="0" xfId="0" applyNumberFormat="1" applyFont="1" applyFill="1" applyBorder="1"/>
    <xf numFmtId="173" fontId="1" fillId="16" borderId="0" xfId="0" applyFont="1" applyFill="1" applyAlignment="1">
      <alignment horizontal="left" indent="1"/>
    </xf>
    <xf numFmtId="173" fontId="11" fillId="16" borderId="0" xfId="0" applyNumberFormat="1" applyFont="1" applyFill="1" applyBorder="1" applyAlignment="1">
      <alignment horizontal="center"/>
    </xf>
    <xf numFmtId="173" fontId="1" fillId="16" borderId="0" xfId="0" applyNumberFormat="1" applyFont="1" applyFill="1"/>
    <xf numFmtId="173" fontId="1" fillId="14" borderId="0" xfId="0" applyNumberFormat="1" applyFont="1" applyFill="1"/>
    <xf numFmtId="173" fontId="12" fillId="21" borderId="0" xfId="0" applyFont="1" applyFill="1"/>
    <xf numFmtId="173" fontId="12" fillId="21" borderId="0" xfId="0" applyNumberFormat="1" applyFont="1" applyFill="1"/>
    <xf numFmtId="173" fontId="11" fillId="14" borderId="0" xfId="0" applyFont="1" applyFill="1"/>
    <xf numFmtId="173" fontId="12" fillId="21" borderId="14" xfId="0" applyFont="1" applyFill="1" applyBorder="1"/>
    <xf numFmtId="173" fontId="12" fillId="21" borderId="14" xfId="0" applyNumberFormat="1" applyFont="1" applyFill="1" applyBorder="1"/>
    <xf numFmtId="10" fontId="1" fillId="0" borderId="0" xfId="0" applyNumberFormat="1" applyFont="1" applyBorder="1"/>
    <xf numFmtId="173" fontId="6" fillId="14" borderId="0" xfId="0" applyNumberFormat="1" applyFont="1" applyFill="1"/>
    <xf numFmtId="173" fontId="6" fillId="14" borderId="0" xfId="0" applyNumberFormat="1" applyFont="1" applyFill="1"/>
    <xf numFmtId="173" fontId="6" fillId="14" borderId="0" xfId="0" applyFont="1" applyFill="1" applyAlignment="1">
      <alignment horizontal="right"/>
    </xf>
    <xf numFmtId="173" fontId="6" fillId="14" borderId="0" xfId="3" applyNumberFormat="1" applyFont="1" applyFill="1"/>
    <xf numFmtId="173" fontId="1" fillId="12" borderId="0" xfId="0" applyNumberFormat="1" applyFont="1" applyFill="1"/>
    <xf numFmtId="173" fontId="1" fillId="4" borderId="0" xfId="0" applyFont="1" applyFill="1"/>
    <xf numFmtId="173" fontId="1" fillId="4" borderId="0" xfId="0" applyNumberFormat="1" applyFont="1" applyFill="1"/>
    <xf numFmtId="173" fontId="1" fillId="13" borderId="0" xfId="0" applyNumberFormat="1" applyFont="1" applyFill="1"/>
    <xf numFmtId="173" fontId="30" fillId="13" borderId="0" xfId="0" applyNumberFormat="1" applyFont="1" applyFill="1"/>
    <xf numFmtId="173" fontId="1" fillId="13" borderId="13" xfId="0" applyFont="1" applyFill="1" applyBorder="1"/>
    <xf numFmtId="173" fontId="10" fillId="13" borderId="0" xfId="0" applyFont="1" applyFill="1" applyAlignment="1">
      <alignment vertical="center"/>
    </xf>
    <xf numFmtId="173" fontId="1" fillId="13" borderId="14" xfId="0" applyFont="1" applyFill="1" applyBorder="1"/>
    <xf numFmtId="173" fontId="1" fillId="13" borderId="15" xfId="0" applyFont="1" applyFill="1" applyBorder="1"/>
    <xf numFmtId="173" fontId="11" fillId="24" borderId="0" xfId="0" applyFont="1" applyFill="1"/>
    <xf numFmtId="173" fontId="1" fillId="24" borderId="4" xfId="0" applyFont="1" applyFill="1" applyBorder="1"/>
    <xf numFmtId="166" fontId="1" fillId="24" borderId="0" xfId="2" applyNumberFormat="1" applyFont="1" applyFill="1" applyBorder="1"/>
    <xf numFmtId="173" fontId="1" fillId="24" borderId="0" xfId="0" applyNumberFormat="1" applyFont="1" applyFill="1" applyBorder="1"/>
    <xf numFmtId="9" fontId="1" fillId="24" borderId="0" xfId="0" applyNumberFormat="1" applyFont="1" applyFill="1" applyBorder="1"/>
    <xf numFmtId="166" fontId="33" fillId="24" borderId="0" xfId="2" applyNumberFormat="1" applyFont="1" applyFill="1"/>
    <xf numFmtId="173" fontId="6" fillId="0" borderId="0" xfId="0" applyNumberFormat="1" applyFont="1" applyBorder="1"/>
    <xf numFmtId="173" fontId="6" fillId="0" borderId="4" xfId="0" applyFont="1" applyBorder="1"/>
    <xf numFmtId="173" fontId="1" fillId="33" borderId="22" xfId="0" applyNumberFormat="1" applyFont="1" applyFill="1" applyBorder="1"/>
    <xf numFmtId="173" fontId="1" fillId="33" borderId="22" xfId="0" applyFont="1" applyFill="1" applyBorder="1"/>
    <xf numFmtId="173" fontId="1" fillId="33" borderId="22" xfId="0" applyNumberFormat="1" applyFont="1" applyFill="1" applyBorder="1"/>
    <xf numFmtId="166" fontId="1" fillId="2" borderId="0" xfId="0" applyNumberFormat="1" applyFont="1" applyFill="1" applyBorder="1"/>
    <xf numFmtId="173" fontId="1" fillId="2" borderId="0" xfId="0" applyNumberFormat="1" applyFont="1" applyFill="1" applyBorder="1"/>
    <xf numFmtId="9" fontId="1" fillId="2" borderId="0" xfId="0" applyNumberFormat="1" applyFont="1" applyFill="1" applyBorder="1"/>
    <xf numFmtId="173" fontId="5" fillId="7" borderId="0" xfId="0" applyFont="1" applyFill="1" applyBorder="1"/>
    <xf numFmtId="173" fontId="5" fillId="6" borderId="0" xfId="0" applyNumberFormat="1" applyFont="1" applyFill="1" applyBorder="1"/>
    <xf numFmtId="173" fontId="6" fillId="0" borderId="0" xfId="0" applyNumberFormat="1" applyFont="1" applyFill="1" applyBorder="1"/>
    <xf numFmtId="10" fontId="6" fillId="0" borderId="0" xfId="0" applyNumberFormat="1" applyFont="1" applyFill="1" applyBorder="1" applyAlignment="1">
      <alignment horizontal="center"/>
    </xf>
    <xf numFmtId="173" fontId="5" fillId="7" borderId="0" xfId="0" applyFont="1" applyFill="1" applyAlignment="1">
      <alignment horizontal="left"/>
    </xf>
    <xf numFmtId="167" fontId="5" fillId="7" borderId="0" xfId="2" applyNumberFormat="1" applyFont="1" applyFill="1"/>
    <xf numFmtId="10" fontId="5" fillId="7" borderId="0" xfId="2" applyNumberFormat="1" applyFont="1" applyFill="1"/>
    <xf numFmtId="9" fontId="38" fillId="7" borderId="0" xfId="2" applyFont="1" applyFill="1"/>
    <xf numFmtId="173" fontId="5" fillId="6" borderId="0" xfId="0" applyNumberFormat="1" applyFont="1" applyFill="1" applyAlignment="1">
      <alignment horizontal="right"/>
    </xf>
    <xf numFmtId="173" fontId="5" fillId="6" borderId="0" xfId="0" applyNumberFormat="1" applyFont="1" applyFill="1" applyBorder="1" applyAlignment="1">
      <alignment horizontal="center"/>
    </xf>
    <xf numFmtId="173" fontId="5" fillId="6" borderId="0" xfId="0" applyNumberFormat="1" applyFont="1" applyFill="1" applyBorder="1" applyAlignment="1">
      <alignment horizontal="right"/>
    </xf>
    <xf numFmtId="1" fontId="5" fillId="6" borderId="0" xfId="0" applyNumberFormat="1" applyFont="1" applyFill="1" applyBorder="1" applyAlignment="1">
      <alignment horizontal="right"/>
    </xf>
    <xf numFmtId="173" fontId="5" fillId="7" borderId="0" xfId="0" applyNumberFormat="1" applyFont="1" applyFill="1"/>
    <xf numFmtId="9" fontId="5" fillId="6" borderId="0" xfId="2" applyFont="1" applyFill="1"/>
    <xf numFmtId="10" fontId="1" fillId="0" borderId="0" xfId="0" applyNumberFormat="1" applyFont="1" applyBorder="1" applyAlignment="1"/>
    <xf numFmtId="173" fontId="12" fillId="7" borderId="0" xfId="0" applyFont="1" applyFill="1"/>
    <xf numFmtId="173" fontId="12" fillId="7" borderId="0" xfId="0" applyNumberFormat="1" applyFont="1" applyFill="1"/>
    <xf numFmtId="173" fontId="39" fillId="0" borderId="0" xfId="0" applyFont="1"/>
    <xf numFmtId="173" fontId="1" fillId="36" borderId="13" xfId="0" applyNumberFormat="1" applyFont="1" applyFill="1" applyBorder="1"/>
    <xf numFmtId="166" fontId="1" fillId="0" borderId="0" xfId="2" applyNumberFormat="1" applyFont="1" applyFill="1" applyBorder="1"/>
    <xf numFmtId="9" fontId="1" fillId="37" borderId="0" xfId="0" applyNumberFormat="1" applyFont="1" applyFill="1" applyBorder="1"/>
    <xf numFmtId="173" fontId="1" fillId="37" borderId="0" xfId="0" applyNumberFormat="1" applyFont="1" applyFill="1" applyBorder="1"/>
    <xf numFmtId="173" fontId="1" fillId="37" borderId="0" xfId="0" applyNumberFormat="1" applyFont="1" applyFill="1" applyBorder="1"/>
    <xf numFmtId="166" fontId="1" fillId="0" borderId="4" xfId="2" applyNumberFormat="1" applyFont="1" applyFill="1" applyBorder="1"/>
    <xf numFmtId="173" fontId="1" fillId="0" borderId="5" xfId="0" applyNumberFormat="1" applyFont="1" applyFill="1" applyBorder="1"/>
    <xf numFmtId="173" fontId="1" fillId="5" borderId="5" xfId="0" applyNumberFormat="1" applyFont="1" applyFill="1" applyBorder="1"/>
    <xf numFmtId="173" fontId="1" fillId="3" borderId="5" xfId="0" applyNumberFormat="1" applyFont="1" applyFill="1" applyBorder="1"/>
    <xf numFmtId="9" fontId="1" fillId="0" borderId="4" xfId="0" applyNumberFormat="1" applyFont="1" applyFill="1" applyBorder="1"/>
    <xf numFmtId="9" fontId="1" fillId="32" borderId="0" xfId="0" applyNumberFormat="1" applyFont="1" applyFill="1" applyBorder="1"/>
    <xf numFmtId="173" fontId="1" fillId="32" borderId="5" xfId="0" applyNumberFormat="1" applyFont="1" applyFill="1" applyBorder="1"/>
    <xf numFmtId="173" fontId="1" fillId="16" borderId="5" xfId="0" applyNumberFormat="1" applyFont="1" applyFill="1" applyBorder="1"/>
    <xf numFmtId="173" fontId="1" fillId="15" borderId="5" xfId="0" applyNumberFormat="1" applyFont="1" applyFill="1" applyBorder="1"/>
    <xf numFmtId="173" fontId="1" fillId="37" borderId="5" xfId="0" applyNumberFormat="1" applyFont="1" applyFill="1" applyBorder="1"/>
    <xf numFmtId="173" fontId="1" fillId="12" borderId="5" xfId="0" applyNumberFormat="1" applyFont="1" applyFill="1" applyBorder="1"/>
    <xf numFmtId="173" fontId="1" fillId="13" borderId="5" xfId="0" applyNumberFormat="1" applyFont="1" applyFill="1" applyBorder="1"/>
    <xf numFmtId="173" fontId="1" fillId="32" borderId="0" xfId="0" applyFont="1" applyFill="1" applyBorder="1"/>
    <xf numFmtId="173" fontId="1" fillId="32" borderId="0" xfId="0" applyNumberFormat="1" applyFont="1" applyFill="1" applyBorder="1"/>
    <xf numFmtId="9" fontId="1" fillId="32" borderId="26" xfId="0" applyNumberFormat="1" applyFont="1" applyFill="1" applyBorder="1"/>
    <xf numFmtId="173" fontId="1" fillId="12" borderId="5" xfId="0" applyFont="1" applyFill="1" applyBorder="1"/>
    <xf numFmtId="173" fontId="1" fillId="37" borderId="5" xfId="0" applyNumberFormat="1" applyFont="1" applyFill="1" applyBorder="1"/>
    <xf numFmtId="173" fontId="1" fillId="13" borderId="5" xfId="0" applyFont="1" applyFill="1" applyBorder="1"/>
    <xf numFmtId="173" fontId="1" fillId="15" borderId="5" xfId="0" applyFont="1" applyFill="1" applyBorder="1"/>
    <xf numFmtId="173" fontId="1" fillId="32" borderId="5" xfId="0" applyFont="1" applyFill="1" applyBorder="1"/>
    <xf numFmtId="173" fontId="1" fillId="24" borderId="5" xfId="0" applyNumberFormat="1" applyFont="1" applyFill="1" applyBorder="1"/>
    <xf numFmtId="173" fontId="5" fillId="24" borderId="5" xfId="0" applyFont="1" applyFill="1" applyBorder="1"/>
    <xf numFmtId="173" fontId="5" fillId="0" borderId="4" xfId="0" applyFont="1" applyFill="1" applyBorder="1"/>
    <xf numFmtId="173" fontId="5" fillId="0" borderId="5" xfId="0" applyFont="1" applyFill="1" applyBorder="1"/>
    <xf numFmtId="173" fontId="1" fillId="16" borderId="5" xfId="0" applyFont="1" applyFill="1" applyBorder="1"/>
    <xf numFmtId="173" fontId="1" fillId="17" borderId="5" xfId="0" applyNumberFormat="1" applyFont="1" applyFill="1" applyBorder="1"/>
    <xf numFmtId="173" fontId="1" fillId="17" borderId="5" xfId="0" applyFont="1" applyFill="1" applyBorder="1"/>
    <xf numFmtId="9" fontId="1" fillId="17" borderId="26" xfId="0" applyNumberFormat="1" applyFont="1" applyFill="1" applyBorder="1"/>
    <xf numFmtId="9" fontId="1" fillId="16" borderId="26" xfId="0" applyNumberFormat="1" applyFont="1" applyFill="1" applyBorder="1"/>
    <xf numFmtId="173" fontId="5" fillId="18" borderId="2" xfId="0" applyFont="1" applyFill="1" applyBorder="1" applyAlignment="1">
      <alignment horizontal="center"/>
    </xf>
    <xf numFmtId="9" fontId="1" fillId="15" borderId="26" xfId="0" applyNumberFormat="1" applyFont="1" applyFill="1" applyBorder="1"/>
    <xf numFmtId="9" fontId="1" fillId="24" borderId="26" xfId="0" applyNumberFormat="1" applyFont="1" applyFill="1" applyBorder="1"/>
    <xf numFmtId="9" fontId="1" fillId="13" borderId="26" xfId="0" applyNumberFormat="1" applyFont="1" applyFill="1" applyBorder="1"/>
    <xf numFmtId="9" fontId="1" fillId="37" borderId="26" xfId="0" applyNumberFormat="1" applyFont="1" applyFill="1" applyBorder="1"/>
    <xf numFmtId="9" fontId="1" fillId="12" borderId="26" xfId="0" applyNumberFormat="1" applyFont="1" applyFill="1" applyBorder="1"/>
    <xf numFmtId="173" fontId="5" fillId="7" borderId="6" xfId="0" quotePrefix="1" applyNumberFormat="1" applyFont="1" applyFill="1" applyBorder="1"/>
    <xf numFmtId="173" fontId="5" fillId="18" borderId="7" xfId="0" quotePrefix="1" applyFont="1" applyFill="1" applyBorder="1"/>
    <xf numFmtId="173" fontId="5" fillId="18" borderId="8" xfId="0" applyFont="1" applyFill="1" applyBorder="1"/>
    <xf numFmtId="173" fontId="5" fillId="18" borderId="6" xfId="0" applyFont="1" applyFill="1" applyBorder="1"/>
    <xf numFmtId="173" fontId="5" fillId="38" borderId="0" xfId="0" applyNumberFormat="1" applyFont="1" applyFill="1"/>
    <xf numFmtId="173" fontId="1" fillId="38" borderId="0" xfId="0" applyFont="1" applyFill="1"/>
    <xf numFmtId="173" fontId="1" fillId="29" borderId="4" xfId="0" applyNumberFormat="1" applyFont="1" applyFill="1" applyBorder="1"/>
    <xf numFmtId="173" fontId="1" fillId="29" borderId="0" xfId="0" applyFont="1" applyFill="1" applyBorder="1"/>
    <xf numFmtId="173" fontId="1" fillId="29" borderId="10" xfId="0" applyFont="1" applyFill="1" applyBorder="1" applyAlignment="1">
      <alignment horizontal="center"/>
    </xf>
    <xf numFmtId="173" fontId="1" fillId="29" borderId="5" xfId="0" applyFont="1" applyFill="1" applyBorder="1"/>
    <xf numFmtId="9" fontId="1" fillId="29" borderId="0" xfId="0" applyNumberFormat="1" applyFont="1" applyFill="1"/>
    <xf numFmtId="9" fontId="1" fillId="5" borderId="0" xfId="0" applyNumberFormat="1" applyFont="1" applyFill="1"/>
    <xf numFmtId="173" fontId="1" fillId="33" borderId="0" xfId="0" applyNumberFormat="1" applyFont="1" applyFill="1"/>
    <xf numFmtId="173" fontId="1" fillId="33" borderId="8" xfId="0" applyNumberFormat="1" applyFont="1" applyFill="1" applyBorder="1"/>
    <xf numFmtId="9" fontId="1" fillId="33" borderId="0" xfId="0" applyNumberFormat="1" applyFont="1" applyFill="1" applyAlignment="1">
      <alignment horizontal="center"/>
    </xf>
    <xf numFmtId="9" fontId="1" fillId="26" borderId="0" xfId="2" applyFont="1" applyFill="1"/>
    <xf numFmtId="9" fontId="5" fillId="7" borderId="0" xfId="0" applyNumberFormat="1" applyFont="1" applyFill="1"/>
    <xf numFmtId="173" fontId="5" fillId="38" borderId="0" xfId="0" applyFont="1" applyFill="1" applyAlignment="1">
      <alignment horizontal="center"/>
    </xf>
    <xf numFmtId="165" fontId="5" fillId="7" borderId="15" xfId="0" applyNumberFormat="1" applyFont="1" applyFill="1" applyBorder="1"/>
    <xf numFmtId="173" fontId="41" fillId="0" borderId="0" xfId="0" applyFont="1"/>
    <xf numFmtId="173" fontId="42" fillId="18" borderId="0" xfId="0" applyFont="1" applyFill="1"/>
    <xf numFmtId="173" fontId="42" fillId="7" borderId="0" xfId="0" applyFont="1" applyFill="1"/>
    <xf numFmtId="173" fontId="42" fillId="7" borderId="0" xfId="0" applyFont="1" applyFill="1" applyAlignment="1">
      <alignment horizontal="center"/>
    </xf>
    <xf numFmtId="173" fontId="41" fillId="0" borderId="0" xfId="0" applyNumberFormat="1" applyFont="1"/>
    <xf numFmtId="173" fontId="42" fillId="7" borderId="0" xfId="0" applyNumberFormat="1" applyFont="1" applyFill="1"/>
    <xf numFmtId="173" fontId="41" fillId="5" borderId="0" xfId="0" applyFont="1" applyFill="1"/>
    <xf numFmtId="173" fontId="41" fillId="5" borderId="0" xfId="0" applyNumberFormat="1" applyFont="1" applyFill="1"/>
    <xf numFmtId="173" fontId="41" fillId="5" borderId="0" xfId="0" applyNumberFormat="1" applyFont="1" applyFill="1"/>
    <xf numFmtId="173" fontId="41" fillId="5" borderId="0" xfId="0" applyNumberFormat="1" applyFont="1" applyFill="1"/>
    <xf numFmtId="173" fontId="41" fillId="0" borderId="0" xfId="0" applyFont="1" applyFill="1"/>
    <xf numFmtId="9" fontId="41" fillId="0" borderId="0" xfId="0" applyNumberFormat="1" applyFont="1"/>
    <xf numFmtId="173" fontId="41" fillId="0" borderId="0" xfId="0" applyNumberFormat="1" applyFont="1"/>
    <xf numFmtId="173" fontId="41" fillId="0" borderId="0" xfId="0" quotePrefix="1" applyFont="1"/>
    <xf numFmtId="173" fontId="41" fillId="0" borderId="0" xfId="0" applyNumberFormat="1" applyFont="1" applyFill="1"/>
    <xf numFmtId="173" fontId="41" fillId="29" borderId="0" xfId="0" applyNumberFormat="1" applyFont="1" applyFill="1"/>
    <xf numFmtId="173" fontId="42" fillId="34" borderId="0" xfId="0" applyFont="1" applyFill="1"/>
    <xf numFmtId="173" fontId="42" fillId="34" borderId="0" xfId="0" applyNumberFormat="1" applyFont="1" applyFill="1"/>
    <xf numFmtId="173" fontId="42" fillId="39" borderId="0" xfId="0" applyFont="1" applyFill="1"/>
    <xf numFmtId="173" fontId="42" fillId="39" borderId="0" xfId="0" applyNumberFormat="1" applyFont="1" applyFill="1"/>
    <xf numFmtId="173" fontId="42" fillId="39" borderId="0" xfId="3" applyNumberFormat="1" applyFont="1" applyFill="1"/>
    <xf numFmtId="173" fontId="42" fillId="38" borderId="0" xfId="0" applyFont="1" applyFill="1"/>
    <xf numFmtId="173" fontId="42" fillId="38" borderId="0" xfId="0" applyNumberFormat="1" applyFont="1" applyFill="1"/>
    <xf numFmtId="9" fontId="40" fillId="0" borderId="0" xfId="0" applyNumberFormat="1" applyFont="1"/>
    <xf numFmtId="173" fontId="5" fillId="0" borderId="0" xfId="0" applyNumberFormat="1" applyFont="1" applyFill="1"/>
    <xf numFmtId="173" fontId="1" fillId="26" borderId="1" xfId="0" applyFont="1" applyFill="1" applyBorder="1"/>
    <xf numFmtId="173" fontId="1" fillId="26" borderId="2" xfId="0" applyFont="1" applyFill="1" applyBorder="1"/>
    <xf numFmtId="173" fontId="1" fillId="26" borderId="3" xfId="0" applyFont="1" applyFill="1" applyBorder="1"/>
    <xf numFmtId="173" fontId="1" fillId="26" borderId="0" xfId="0" applyFont="1" applyFill="1" applyBorder="1"/>
    <xf numFmtId="173" fontId="1" fillId="26" borderId="0" xfId="0" applyNumberFormat="1" applyFont="1" applyFill="1" applyBorder="1"/>
    <xf numFmtId="173" fontId="1" fillId="26" borderId="0" xfId="3" applyNumberFormat="1" applyFont="1" applyFill="1"/>
    <xf numFmtId="173" fontId="1" fillId="26" borderId="15" xfId="0" applyNumberFormat="1" applyFont="1" applyFill="1" applyBorder="1"/>
    <xf numFmtId="173" fontId="1" fillId="26" borderId="26" xfId="0" applyNumberFormat="1" applyFont="1" applyFill="1" applyBorder="1"/>
    <xf numFmtId="173" fontId="1" fillId="0" borderId="0" xfId="0" applyNumberFormat="1" applyFont="1" applyAlignment="1">
      <alignment horizontal="right" indent="1"/>
    </xf>
    <xf numFmtId="1" fontId="1" fillId="26" borderId="0" xfId="0" applyNumberFormat="1" applyFont="1" applyFill="1"/>
    <xf numFmtId="173" fontId="1" fillId="26" borderId="0" xfId="0" applyFont="1" applyFill="1" applyAlignment="1">
      <alignment horizontal="left"/>
    </xf>
    <xf numFmtId="9" fontId="1" fillId="14" borderId="0" xfId="2" applyNumberFormat="1" applyFont="1" applyFill="1"/>
    <xf numFmtId="173" fontId="1" fillId="14" borderId="0" xfId="3" applyNumberFormat="1" applyFont="1" applyFill="1"/>
    <xf numFmtId="173" fontId="1" fillId="14" borderId="0" xfId="3" applyNumberFormat="1" applyFont="1" applyFill="1"/>
    <xf numFmtId="173" fontId="1" fillId="26" borderId="14" xfId="0" applyNumberFormat="1" applyFont="1" applyFill="1" applyBorder="1"/>
    <xf numFmtId="173" fontId="5" fillId="7" borderId="15" xfId="0" applyNumberFormat="1" applyFont="1" applyFill="1" applyBorder="1"/>
    <xf numFmtId="173" fontId="1" fillId="14" borderId="10" xfId="0" applyFont="1" applyFill="1" applyBorder="1"/>
    <xf numFmtId="9" fontId="1" fillId="14" borderId="10" xfId="2" applyNumberFormat="1" applyFont="1" applyFill="1" applyBorder="1"/>
    <xf numFmtId="173" fontId="1" fillId="14" borderId="10" xfId="3" applyNumberFormat="1" applyFont="1" applyFill="1" applyBorder="1"/>
    <xf numFmtId="173" fontId="1" fillId="14" borderId="10" xfId="3" applyNumberFormat="1" applyFont="1" applyFill="1" applyBorder="1"/>
    <xf numFmtId="173" fontId="6" fillId="14" borderId="10" xfId="3" applyNumberFormat="1" applyFont="1" applyFill="1" applyBorder="1"/>
    <xf numFmtId="173" fontId="1" fillId="26" borderId="4" xfId="0" applyNumberFormat="1" applyFont="1" applyFill="1" applyBorder="1"/>
    <xf numFmtId="173" fontId="5" fillId="10" borderId="4" xfId="0" applyNumberFormat="1" applyFont="1" applyFill="1" applyBorder="1"/>
    <xf numFmtId="173" fontId="1" fillId="26" borderId="10" xfId="0" applyNumberFormat="1" applyFont="1" applyFill="1" applyBorder="1"/>
    <xf numFmtId="173" fontId="1" fillId="4" borderId="4" xfId="0" applyNumberFormat="1" applyFont="1" applyFill="1" applyBorder="1"/>
    <xf numFmtId="9" fontId="38" fillId="0" borderId="0" xfId="0" quotePrefix="1" applyNumberFormat="1" applyFont="1" applyAlignment="1">
      <alignment horizontal="center"/>
    </xf>
    <xf numFmtId="9" fontId="38" fillId="0" borderId="0" xfId="0" applyNumberFormat="1" applyFont="1" applyAlignment="1">
      <alignment horizontal="center"/>
    </xf>
    <xf numFmtId="9" fontId="1" fillId="14" borderId="26" xfId="0" applyNumberFormat="1" applyFont="1" applyFill="1" applyBorder="1"/>
    <xf numFmtId="165" fontId="1" fillId="30" borderId="14" xfId="1" applyNumberFormat="1" applyFont="1" applyFill="1" applyBorder="1"/>
    <xf numFmtId="173" fontId="1" fillId="6" borderId="0" xfId="0" applyFont="1" applyFill="1"/>
    <xf numFmtId="165" fontId="11" fillId="30" borderId="15" xfId="1" applyNumberFormat="1" applyFont="1" applyFill="1" applyBorder="1"/>
    <xf numFmtId="165" fontId="1" fillId="30" borderId="0" xfId="1" applyNumberFormat="1" applyFont="1" applyFill="1"/>
    <xf numFmtId="165" fontId="1" fillId="30" borderId="14" xfId="0" applyNumberFormat="1" applyFont="1" applyFill="1" applyBorder="1"/>
    <xf numFmtId="43" fontId="1" fillId="30" borderId="14" xfId="0" applyNumberFormat="1" applyFont="1" applyFill="1" applyBorder="1"/>
    <xf numFmtId="173" fontId="1" fillId="30" borderId="15" xfId="0" applyFont="1" applyFill="1" applyBorder="1"/>
    <xf numFmtId="173" fontId="5" fillId="7" borderId="15" xfId="0" applyFont="1" applyFill="1" applyBorder="1"/>
    <xf numFmtId="165" fontId="12" fillId="7" borderId="15" xfId="0" applyNumberFormat="1" applyFont="1" applyFill="1" applyBorder="1" applyAlignment="1">
      <alignment horizontal="right"/>
    </xf>
    <xf numFmtId="165" fontId="12" fillId="7" borderId="15" xfId="0" applyNumberFormat="1" applyFont="1" applyFill="1" applyBorder="1"/>
    <xf numFmtId="165" fontId="1" fillId="30" borderId="15" xfId="1" applyNumberFormat="1" applyFont="1" applyFill="1" applyBorder="1"/>
    <xf numFmtId="165" fontId="1" fillId="30" borderId="15" xfId="0" applyNumberFormat="1" applyFont="1" applyFill="1" applyBorder="1"/>
    <xf numFmtId="43" fontId="5" fillId="6" borderId="0" xfId="0" applyNumberFormat="1" applyFont="1" applyFill="1"/>
    <xf numFmtId="43" fontId="1" fillId="19" borderId="0" xfId="0" applyNumberFormat="1" applyFont="1" applyFill="1"/>
    <xf numFmtId="173" fontId="6" fillId="15" borderId="0" xfId="0" applyNumberFormat="1" applyFont="1" applyFill="1"/>
    <xf numFmtId="173" fontId="6" fillId="0" borderId="0" xfId="0" applyFont="1" applyFill="1" applyAlignment="1">
      <alignment horizontal="right"/>
    </xf>
    <xf numFmtId="173" fontId="12" fillId="7" borderId="15" xfId="0" applyNumberFormat="1" applyFont="1" applyFill="1" applyBorder="1"/>
    <xf numFmtId="173" fontId="1" fillId="36" borderId="13" xfId="0" applyFont="1" applyFill="1" applyBorder="1"/>
    <xf numFmtId="173" fontId="1" fillId="36" borderId="13" xfId="1" applyNumberFormat="1" applyFont="1" applyFill="1" applyBorder="1"/>
    <xf numFmtId="173" fontId="11" fillId="13" borderId="15" xfId="0" applyFont="1" applyFill="1" applyBorder="1"/>
    <xf numFmtId="173" fontId="11" fillId="0" borderId="15" xfId="0" applyNumberFormat="1" applyFont="1" applyBorder="1"/>
    <xf numFmtId="173" fontId="32" fillId="19" borderId="0" xfId="0" applyFont="1" applyFill="1"/>
    <xf numFmtId="173" fontId="44" fillId="0" borderId="0" xfId="0" applyFont="1"/>
    <xf numFmtId="173" fontId="5" fillId="38" borderId="0" xfId="0" applyFont="1" applyFill="1"/>
    <xf numFmtId="173" fontId="5" fillId="7" borderId="0" xfId="2" applyNumberFormat="1" applyFont="1" applyFill="1"/>
    <xf numFmtId="173" fontId="1" fillId="33" borderId="0" xfId="0" applyFont="1" applyFill="1" applyAlignment="1">
      <alignment horizontal="right"/>
    </xf>
    <xf numFmtId="9" fontId="1" fillId="33" borderId="0" xfId="0" applyNumberFormat="1" applyFont="1" applyFill="1"/>
    <xf numFmtId="9" fontId="6" fillId="33" borderId="2" xfId="0" applyNumberFormat="1" applyFont="1" applyFill="1" applyBorder="1"/>
    <xf numFmtId="173" fontId="6" fillId="33" borderId="7" xfId="0" applyNumberFormat="1" applyFont="1" applyFill="1" applyBorder="1"/>
    <xf numFmtId="173" fontId="12" fillId="19" borderId="0" xfId="0" applyFont="1" applyFill="1"/>
    <xf numFmtId="173" fontId="46" fillId="0" borderId="0" xfId="0" applyFont="1" applyBorder="1"/>
    <xf numFmtId="173" fontId="47" fillId="0" borderId="9" xfId="0" applyFont="1" applyBorder="1" applyAlignment="1">
      <alignment horizontal="center"/>
    </xf>
    <xf numFmtId="173" fontId="47" fillId="0" borderId="11" xfId="0" applyFont="1" applyBorder="1" applyAlignment="1">
      <alignment horizontal="center"/>
    </xf>
    <xf numFmtId="173" fontId="1" fillId="0" borderId="24" xfId="0" applyFont="1" applyBorder="1" applyAlignment="1">
      <alignment horizontal="center"/>
    </xf>
    <xf numFmtId="173" fontId="47" fillId="0" borderId="24" xfId="0" applyFont="1" applyBorder="1" applyAlignment="1">
      <alignment horizontal="center"/>
    </xf>
    <xf numFmtId="173" fontId="1" fillId="0" borderId="0" xfId="0" applyFont="1" applyAlignment="1">
      <alignment horizontal="left"/>
    </xf>
    <xf numFmtId="173" fontId="5" fillId="0" borderId="0" xfId="0" applyFont="1" applyFill="1" applyAlignment="1">
      <alignment horizontal="center"/>
    </xf>
    <xf numFmtId="173" fontId="6" fillId="27" borderId="0" xfId="0" applyFont="1" applyFill="1"/>
    <xf numFmtId="173" fontId="6" fillId="33" borderId="26" xfId="0" applyNumberFormat="1" applyFont="1" applyFill="1" applyBorder="1"/>
    <xf numFmtId="173" fontId="6" fillId="29" borderId="0" xfId="0" applyFont="1" applyFill="1"/>
    <xf numFmtId="173" fontId="6" fillId="29" borderId="0" xfId="0" applyNumberFormat="1" applyFont="1" applyFill="1"/>
    <xf numFmtId="173" fontId="5" fillId="6" borderId="0" xfId="0" applyFont="1" applyFill="1" applyAlignment="1">
      <alignment horizontal="right"/>
    </xf>
    <xf numFmtId="9" fontId="1" fillId="0" borderId="0" xfId="0" applyNumberFormat="1" applyFont="1" applyFill="1"/>
    <xf numFmtId="173" fontId="1" fillId="17" borderId="1" xfId="0" applyFont="1" applyFill="1" applyBorder="1"/>
    <xf numFmtId="173" fontId="1" fillId="17" borderId="4" xfId="0" applyFont="1" applyFill="1" applyBorder="1"/>
    <xf numFmtId="173" fontId="1" fillId="17" borderId="4" xfId="0" applyFont="1" applyFill="1" applyBorder="1" applyAlignment="1">
      <alignment horizontal="right"/>
    </xf>
    <xf numFmtId="173" fontId="5" fillId="18" borderId="7" xfId="0" quotePrefix="1" applyFont="1" applyFill="1" applyBorder="1" applyAlignment="1">
      <alignment horizontal="center"/>
    </xf>
    <xf numFmtId="173" fontId="5" fillId="7" borderId="7" xfId="0" quotePrefix="1" applyFont="1" applyFill="1" applyBorder="1" applyAlignment="1">
      <alignment horizontal="center"/>
    </xf>
    <xf numFmtId="173" fontId="5" fillId="7" borderId="1" xfId="0" applyFont="1" applyFill="1" applyBorder="1" applyAlignment="1">
      <alignment horizontal="center"/>
    </xf>
    <xf numFmtId="173" fontId="5" fillId="7" borderId="6" xfId="0" quotePrefix="1" applyFont="1" applyFill="1" applyBorder="1" applyAlignment="1">
      <alignment horizontal="center"/>
    </xf>
    <xf numFmtId="9" fontId="1" fillId="17" borderId="4" xfId="0" applyNumberFormat="1" applyFont="1" applyFill="1" applyBorder="1"/>
    <xf numFmtId="9" fontId="1" fillId="16" borderId="4" xfId="0" applyNumberFormat="1" applyFont="1" applyFill="1" applyBorder="1"/>
    <xf numFmtId="9" fontId="1" fillId="15" borderId="4" xfId="0" applyNumberFormat="1" applyFont="1" applyFill="1" applyBorder="1"/>
    <xf numFmtId="9" fontId="1" fillId="24" borderId="4" xfId="0" applyNumberFormat="1" applyFont="1" applyFill="1" applyBorder="1"/>
    <xf numFmtId="9" fontId="1" fillId="13" borderId="4" xfId="0" applyNumberFormat="1" applyFont="1" applyFill="1" applyBorder="1"/>
    <xf numFmtId="9" fontId="1" fillId="37" borderId="4" xfId="0" applyNumberFormat="1" applyFont="1" applyFill="1" applyBorder="1"/>
    <xf numFmtId="9" fontId="1" fillId="12" borderId="4" xfId="0" applyNumberFormat="1" applyFont="1" applyFill="1" applyBorder="1"/>
    <xf numFmtId="9" fontId="1" fillId="32" borderId="4" xfId="0" applyNumberFormat="1" applyFont="1" applyFill="1" applyBorder="1"/>
    <xf numFmtId="173" fontId="5" fillId="18" borderId="7" xfId="0" applyFont="1" applyFill="1" applyBorder="1"/>
    <xf numFmtId="173" fontId="5" fillId="0" borderId="7" xfId="0" applyFont="1" applyFill="1" applyBorder="1"/>
    <xf numFmtId="9" fontId="6" fillId="0" borderId="0" xfId="2" applyFont="1" applyFill="1"/>
    <xf numFmtId="170" fontId="6" fillId="0" borderId="0" xfId="2" applyNumberFormat="1" applyFont="1" applyFill="1"/>
    <xf numFmtId="167" fontId="1" fillId="2" borderId="0" xfId="0" applyNumberFormat="1" applyFont="1" applyFill="1"/>
    <xf numFmtId="173" fontId="1" fillId="27" borderId="0" xfId="0" applyFont="1" applyFill="1" applyBorder="1" applyAlignment="1">
      <alignment horizontal="right"/>
    </xf>
    <xf numFmtId="166" fontId="1" fillId="27" borderId="0" xfId="0" applyNumberFormat="1" applyFont="1" applyFill="1" applyBorder="1"/>
    <xf numFmtId="9" fontId="1" fillId="27" borderId="0" xfId="2" applyFont="1" applyFill="1" applyBorder="1"/>
    <xf numFmtId="167" fontId="1" fillId="27" borderId="0" xfId="0" applyNumberFormat="1" applyFont="1" applyFill="1" applyBorder="1"/>
    <xf numFmtId="173" fontId="1" fillId="27" borderId="0" xfId="0" applyNumberFormat="1" applyFont="1" applyFill="1" applyBorder="1"/>
    <xf numFmtId="173" fontId="6" fillId="29" borderId="0" xfId="0" applyFont="1" applyFill="1" applyAlignment="1">
      <alignment horizontal="right"/>
    </xf>
    <xf numFmtId="10" fontId="1" fillId="15" borderId="0" xfId="2" applyNumberFormat="1" applyFont="1" applyFill="1" applyBorder="1"/>
    <xf numFmtId="10" fontId="1" fillId="13" borderId="0" xfId="2" applyNumberFormat="1" applyFont="1" applyFill="1" applyBorder="1"/>
    <xf numFmtId="173" fontId="1" fillId="0" borderId="5" xfId="0" applyNumberFormat="1" applyFont="1" applyBorder="1"/>
    <xf numFmtId="173" fontId="35" fillId="0" borderId="0" xfId="0" applyFont="1"/>
    <xf numFmtId="173" fontId="1" fillId="17" borderId="6" xfId="0" applyFont="1" applyFill="1" applyBorder="1"/>
    <xf numFmtId="10" fontId="1" fillId="24" borderId="0" xfId="2" applyNumberFormat="1" applyFont="1" applyFill="1" applyBorder="1"/>
    <xf numFmtId="168" fontId="12" fillId="19" borderId="0" xfId="0" applyNumberFormat="1" applyFont="1" applyFill="1"/>
    <xf numFmtId="173" fontId="48" fillId="0" borderId="0" xfId="0" applyNumberFormat="1" applyFont="1"/>
    <xf numFmtId="173" fontId="48" fillId="0" borderId="0" xfId="0" applyFont="1"/>
    <xf numFmtId="173" fontId="5" fillId="7" borderId="11" xfId="0" applyFont="1" applyFill="1" applyBorder="1"/>
    <xf numFmtId="173" fontId="47" fillId="2" borderId="0" xfId="0" applyFont="1" applyFill="1" applyBorder="1" applyAlignment="1">
      <alignment horizontal="center"/>
    </xf>
    <xf numFmtId="173" fontId="5" fillId="7" borderId="24" xfId="0" applyNumberFormat="1" applyFont="1" applyFill="1" applyBorder="1"/>
    <xf numFmtId="9" fontId="1" fillId="2" borderId="12" xfId="0" applyNumberFormat="1" applyFont="1" applyFill="1" applyBorder="1"/>
    <xf numFmtId="173" fontId="1" fillId="2" borderId="13" xfId="0" applyNumberFormat="1" applyFont="1" applyFill="1" applyBorder="1"/>
    <xf numFmtId="173" fontId="34" fillId="0" borderId="0" xfId="0" applyFont="1"/>
    <xf numFmtId="173" fontId="34" fillId="0" borderId="0" xfId="0" applyNumberFormat="1" applyFont="1"/>
    <xf numFmtId="173" fontId="34" fillId="0" borderId="0" xfId="0" applyFont="1" applyFill="1"/>
    <xf numFmtId="173" fontId="1" fillId="2" borderId="13" xfId="0" applyFont="1" applyFill="1" applyBorder="1"/>
    <xf numFmtId="173" fontId="1" fillId="2" borderId="3" xfId="0" applyFont="1" applyFill="1" applyBorder="1"/>
    <xf numFmtId="173" fontId="1" fillId="2" borderId="10" xfId="0" applyFont="1" applyFill="1" applyBorder="1"/>
    <xf numFmtId="173" fontId="6" fillId="2" borderId="10" xfId="0" applyNumberFormat="1" applyFont="1" applyFill="1" applyBorder="1"/>
    <xf numFmtId="173" fontId="49" fillId="0" borderId="0" xfId="0" applyFont="1" applyFill="1" applyAlignment="1">
      <alignment horizontal="right"/>
    </xf>
    <xf numFmtId="173" fontId="49" fillId="0" borderId="0" xfId="0" applyNumberFormat="1" applyFont="1" applyFill="1" applyBorder="1"/>
    <xf numFmtId="173" fontId="1" fillId="2" borderId="0" xfId="0" applyFont="1" applyFill="1" applyBorder="1" applyAlignment="1">
      <alignment horizontal="center"/>
    </xf>
    <xf numFmtId="43" fontId="35" fillId="0" borderId="0" xfId="0" applyNumberFormat="1" applyFont="1"/>
    <xf numFmtId="165" fontId="1" fillId="5" borderId="14" xfId="1" applyNumberFormat="1" applyFont="1" applyFill="1" applyBorder="1"/>
    <xf numFmtId="165" fontId="1" fillId="5" borderId="15" xfId="1" applyNumberFormat="1" applyFont="1" applyFill="1" applyBorder="1"/>
    <xf numFmtId="165" fontId="1" fillId="5" borderId="0" xfId="1" applyNumberFormat="1" applyFont="1" applyFill="1"/>
    <xf numFmtId="43" fontId="1" fillId="5" borderId="0" xfId="0" applyNumberFormat="1" applyFont="1" applyFill="1"/>
    <xf numFmtId="43" fontId="15" fillId="5" borderId="0" xfId="0" applyNumberFormat="1" applyFont="1" applyFill="1"/>
    <xf numFmtId="165" fontId="6" fillId="30" borderId="15" xfId="0" applyNumberFormat="1" applyFont="1" applyFill="1" applyBorder="1"/>
    <xf numFmtId="173" fontId="6" fillId="30" borderId="0" xfId="0" applyFont="1" applyFill="1"/>
    <xf numFmtId="165" fontId="6" fillId="30" borderId="14" xfId="0" applyNumberFormat="1" applyFont="1" applyFill="1" applyBorder="1"/>
    <xf numFmtId="9" fontId="6" fillId="30" borderId="0" xfId="0" applyNumberFormat="1" applyFont="1" applyFill="1"/>
    <xf numFmtId="43" fontId="6" fillId="30" borderId="14" xfId="0" applyNumberFormat="1" applyFont="1" applyFill="1" applyBorder="1"/>
    <xf numFmtId="173" fontId="5" fillId="19" borderId="0" xfId="0" applyFont="1" applyFill="1" applyAlignment="1">
      <alignment horizontal="center"/>
    </xf>
    <xf numFmtId="173" fontId="6" fillId="41" borderId="24" xfId="0" applyNumberFormat="1" applyFont="1" applyFill="1" applyBorder="1"/>
    <xf numFmtId="9" fontId="1" fillId="0" borderId="4" xfId="0" applyNumberFormat="1" applyFont="1" applyBorder="1"/>
    <xf numFmtId="9" fontId="1" fillId="0" borderId="24" xfId="2" applyFont="1" applyBorder="1"/>
    <xf numFmtId="173" fontId="50" fillId="0" borderId="0" xfId="0" applyFont="1"/>
    <xf numFmtId="173" fontId="12" fillId="6" borderId="0" xfId="0" applyFont="1" applyFill="1"/>
    <xf numFmtId="173" fontId="12" fillId="6" borderId="0" xfId="0" applyNumberFormat="1" applyFont="1" applyFill="1"/>
    <xf numFmtId="9" fontId="12" fillId="6" borderId="0" xfId="2" applyFont="1" applyFill="1"/>
    <xf numFmtId="173" fontId="12" fillId="6" borderId="0" xfId="2" applyNumberFormat="1" applyFont="1" applyFill="1"/>
    <xf numFmtId="9" fontId="12" fillId="6" borderId="0" xfId="0" applyNumberFormat="1" applyFont="1" applyFill="1"/>
    <xf numFmtId="173" fontId="11" fillId="0" borderId="0" xfId="0" applyNumberFormat="1" applyFont="1"/>
    <xf numFmtId="9" fontId="11" fillId="0" borderId="0" xfId="2" applyFont="1"/>
    <xf numFmtId="173" fontId="11" fillId="0" borderId="0" xfId="2" applyNumberFormat="1" applyFont="1"/>
    <xf numFmtId="9" fontId="11" fillId="0" borderId="0" xfId="0" applyNumberFormat="1" applyFont="1"/>
    <xf numFmtId="173" fontId="11" fillId="3" borderId="0" xfId="0" applyNumberFormat="1" applyFont="1" applyFill="1"/>
    <xf numFmtId="173" fontId="11" fillId="3" borderId="0" xfId="0" applyNumberFormat="1" applyFont="1" applyFill="1"/>
    <xf numFmtId="9" fontId="11" fillId="3" borderId="0" xfId="2" applyFont="1" applyFill="1"/>
    <xf numFmtId="173" fontId="11" fillId="3" borderId="0" xfId="2" applyNumberFormat="1" applyFont="1" applyFill="1"/>
    <xf numFmtId="9" fontId="11" fillId="3" borderId="0" xfId="0" applyNumberFormat="1" applyFont="1" applyFill="1"/>
    <xf numFmtId="173" fontId="11" fillId="23" borderId="0" xfId="0" applyNumberFormat="1" applyFont="1" applyFill="1"/>
    <xf numFmtId="173" fontId="11" fillId="23" borderId="0" xfId="0" applyNumberFormat="1" applyFont="1" applyFill="1"/>
    <xf numFmtId="9" fontId="11" fillId="23" borderId="0" xfId="2" applyFont="1" applyFill="1"/>
    <xf numFmtId="173" fontId="11" fillId="23" borderId="0" xfId="2" applyNumberFormat="1" applyFont="1" applyFill="1"/>
    <xf numFmtId="9" fontId="11" fillId="23" borderId="0" xfId="0" applyNumberFormat="1" applyFont="1" applyFill="1"/>
    <xf numFmtId="173" fontId="12" fillId="6" borderId="0" xfId="0" applyNumberFormat="1" applyFont="1" applyFill="1"/>
    <xf numFmtId="173" fontId="12" fillId="27" borderId="0" xfId="0" applyFont="1" applyFill="1"/>
    <xf numFmtId="173" fontId="12" fillId="27" borderId="0" xfId="0" applyNumberFormat="1" applyFont="1" applyFill="1"/>
    <xf numFmtId="9" fontId="12" fillId="27" borderId="0" xfId="2" applyFont="1" applyFill="1"/>
    <xf numFmtId="173" fontId="12" fillId="27" borderId="0" xfId="2" applyNumberFormat="1" applyFont="1" applyFill="1"/>
    <xf numFmtId="9" fontId="12" fillId="27" borderId="0" xfId="0" applyNumberFormat="1" applyFont="1" applyFill="1"/>
    <xf numFmtId="173" fontId="12" fillId="34" borderId="0" xfId="0" applyFont="1" applyFill="1"/>
    <xf numFmtId="173" fontId="12" fillId="34" borderId="0" xfId="0" applyNumberFormat="1" applyFont="1" applyFill="1"/>
    <xf numFmtId="9" fontId="12" fillId="34" borderId="0" xfId="2" applyFont="1" applyFill="1"/>
    <xf numFmtId="173" fontId="12" fillId="34" borderId="0" xfId="2" applyNumberFormat="1" applyFont="1" applyFill="1"/>
    <xf numFmtId="9" fontId="12" fillId="34" borderId="0" xfId="0" applyNumberFormat="1" applyFont="1" applyFill="1"/>
    <xf numFmtId="173" fontId="52" fillId="0" borderId="0" xfId="0" applyFont="1"/>
    <xf numFmtId="9" fontId="1" fillId="0" borderId="26" xfId="0" applyNumberFormat="1" applyFont="1" applyBorder="1"/>
    <xf numFmtId="173" fontId="32" fillId="30" borderId="0" xfId="0" applyFont="1" applyFill="1"/>
    <xf numFmtId="173" fontId="49" fillId="0" borderId="0" xfId="0" applyFont="1" applyBorder="1"/>
    <xf numFmtId="173" fontId="53" fillId="6" borderId="0" xfId="0" applyFont="1" applyFill="1"/>
    <xf numFmtId="173" fontId="54" fillId="0" borderId="0" xfId="0" applyFont="1"/>
    <xf numFmtId="173" fontId="53" fillId="30" borderId="0" xfId="0" applyFont="1" applyFill="1"/>
    <xf numFmtId="173" fontId="53" fillId="5" borderId="0" xfId="0" applyFont="1" applyFill="1"/>
    <xf numFmtId="173" fontId="55" fillId="0" borderId="0" xfId="0" applyFont="1"/>
    <xf numFmtId="173" fontId="55" fillId="0" borderId="0" xfId="0" applyFont="1" applyAlignment="1">
      <alignment horizontal="right"/>
    </xf>
    <xf numFmtId="173" fontId="1" fillId="0" borderId="0" xfId="0" applyNumberFormat="1" applyFont="1" applyAlignment="1">
      <alignment wrapText="1"/>
    </xf>
    <xf numFmtId="173" fontId="1" fillId="0" borderId="0" xfId="0" applyNumberFormat="1" applyFont="1"/>
    <xf numFmtId="173" fontId="5" fillId="7" borderId="0" xfId="0" applyNumberFormat="1" applyFont="1" applyFill="1"/>
    <xf numFmtId="173" fontId="5" fillId="7" borderId="0" xfId="0" applyNumberFormat="1" applyFont="1" applyFill="1" applyAlignment="1">
      <alignment horizontal="right"/>
    </xf>
    <xf numFmtId="173" fontId="1" fillId="0" borderId="0" xfId="0" applyNumberFormat="1" applyFont="1" applyAlignment="1">
      <alignment horizontal="center"/>
    </xf>
    <xf numFmtId="173" fontId="1" fillId="43" borderId="24" xfId="0" applyNumberFormat="1" applyFont="1" applyFill="1" applyBorder="1" applyAlignment="1">
      <alignment horizontal="right"/>
    </xf>
    <xf numFmtId="173" fontId="6" fillId="0" borderId="0" xfId="0" applyNumberFormat="1" applyFont="1" applyFill="1"/>
    <xf numFmtId="173" fontId="1" fillId="43" borderId="12" xfId="0" applyNumberFormat="1" applyFont="1" applyFill="1" applyBorder="1"/>
    <xf numFmtId="173" fontId="1" fillId="43" borderId="9" xfId="0" applyNumberFormat="1" applyFont="1" applyFill="1" applyBorder="1"/>
    <xf numFmtId="173" fontId="1" fillId="7" borderId="0" xfId="0" applyNumberFormat="1" applyFont="1" applyFill="1" applyBorder="1"/>
    <xf numFmtId="173" fontId="1" fillId="5" borderId="0" xfId="0" applyNumberFormat="1" applyFont="1" applyFill="1"/>
    <xf numFmtId="173" fontId="1" fillId="44" borderId="0" xfId="0" applyNumberFormat="1" applyFont="1" applyFill="1"/>
    <xf numFmtId="173" fontId="5" fillId="7" borderId="12" xfId="0" applyNumberFormat="1" applyFont="1" applyFill="1" applyBorder="1" applyAlignment="1">
      <alignment horizontal="center"/>
    </xf>
    <xf numFmtId="173" fontId="53" fillId="7" borderId="13" xfId="0" applyNumberFormat="1" applyFont="1" applyFill="1" applyBorder="1"/>
    <xf numFmtId="173" fontId="5" fillId="7" borderId="13" xfId="0" applyNumberFormat="1" applyFont="1" applyFill="1" applyBorder="1"/>
    <xf numFmtId="173" fontId="56" fillId="7" borderId="13" xfId="0" applyNumberFormat="1" applyFont="1" applyFill="1" applyBorder="1" applyAlignment="1">
      <alignment horizontal="center"/>
    </xf>
    <xf numFmtId="173" fontId="57" fillId="7" borderId="13" xfId="0" applyNumberFormat="1" applyFont="1" applyFill="1" applyBorder="1"/>
    <xf numFmtId="173" fontId="5" fillId="7" borderId="13" xfId="0" applyNumberFormat="1" applyFont="1" applyFill="1" applyBorder="1" applyAlignment="1">
      <alignment horizontal="center"/>
    </xf>
    <xf numFmtId="173" fontId="44" fillId="7" borderId="13" xfId="0" applyNumberFormat="1" applyFont="1" applyFill="1" applyBorder="1"/>
    <xf numFmtId="173" fontId="5" fillId="7" borderId="13" xfId="0" applyNumberFormat="1" applyFont="1" applyFill="1" applyBorder="1"/>
    <xf numFmtId="173" fontId="5" fillId="7" borderId="27" xfId="0" applyNumberFormat="1" applyFont="1" applyFill="1" applyBorder="1"/>
    <xf numFmtId="173" fontId="58" fillId="7" borderId="13" xfId="0" applyNumberFormat="1" applyFont="1" applyFill="1" applyBorder="1"/>
    <xf numFmtId="173" fontId="5" fillId="19" borderId="24" xfId="0" applyNumberFormat="1" applyFont="1" applyFill="1" applyBorder="1" applyAlignment="1">
      <alignment horizontal="right"/>
    </xf>
    <xf numFmtId="173" fontId="5" fillId="7" borderId="24" xfId="0" applyNumberFormat="1" applyFont="1" applyFill="1" applyBorder="1" applyAlignment="1">
      <alignment horizontal="left"/>
    </xf>
    <xf numFmtId="9" fontId="5" fillId="7" borderId="13" xfId="2" applyFont="1" applyFill="1" applyBorder="1"/>
    <xf numFmtId="173" fontId="5" fillId="7" borderId="13" xfId="0" applyNumberFormat="1" applyFont="1" applyFill="1" applyBorder="1" applyAlignment="1">
      <alignment horizontal="center"/>
    </xf>
    <xf numFmtId="167" fontId="5" fillId="7" borderId="13" xfId="2" applyNumberFormat="1" applyFont="1" applyFill="1" applyBorder="1"/>
    <xf numFmtId="173" fontId="5" fillId="7" borderId="24" xfId="0" applyNumberFormat="1" applyFont="1" applyFill="1" applyBorder="1" applyAlignment="1">
      <alignment horizontal="right"/>
    </xf>
    <xf numFmtId="173" fontId="6" fillId="7" borderId="12" xfId="0" applyNumberFormat="1" applyFont="1" applyFill="1" applyBorder="1"/>
    <xf numFmtId="173" fontId="6" fillId="7" borderId="13" xfId="0" applyNumberFormat="1" applyFont="1" applyFill="1" applyBorder="1"/>
    <xf numFmtId="173" fontId="5" fillId="7" borderId="24" xfId="0" applyNumberFormat="1" applyFont="1" applyFill="1" applyBorder="1"/>
    <xf numFmtId="173" fontId="5" fillId="5" borderId="13" xfId="0" applyNumberFormat="1" applyFont="1" applyFill="1" applyBorder="1"/>
    <xf numFmtId="173" fontId="5" fillId="44" borderId="13" xfId="0" applyNumberFormat="1" applyFont="1" applyFill="1" applyBorder="1"/>
    <xf numFmtId="173" fontId="5" fillId="7" borderId="0" xfId="2" applyNumberFormat="1" applyFont="1" applyFill="1" applyBorder="1"/>
    <xf numFmtId="173" fontId="6" fillId="0" borderId="0" xfId="2" applyNumberFormat="1" applyFont="1" applyFill="1" applyBorder="1"/>
    <xf numFmtId="173" fontId="5" fillId="7" borderId="10" xfId="0" applyNumberFormat="1" applyFont="1" applyFill="1" applyBorder="1" applyAlignment="1">
      <alignment horizontal="right"/>
    </xf>
    <xf numFmtId="173" fontId="1" fillId="43" borderId="10" xfId="0" applyNumberFormat="1" applyFont="1" applyFill="1" applyBorder="1" applyAlignment="1">
      <alignment horizontal="right"/>
    </xf>
    <xf numFmtId="173" fontId="1" fillId="43" borderId="4" xfId="0" applyNumberFormat="1" applyFont="1" applyFill="1" applyBorder="1"/>
    <xf numFmtId="173" fontId="1" fillId="43" borderId="10" xfId="0" applyNumberFormat="1" applyFont="1" applyFill="1" applyBorder="1"/>
    <xf numFmtId="173" fontId="5" fillId="7" borderId="2" xfId="2" applyNumberFormat="1" applyFont="1" applyFill="1" applyBorder="1"/>
    <xf numFmtId="173" fontId="5" fillId="7" borderId="12" xfId="2" applyNumberFormat="1" applyFont="1" applyFill="1" applyBorder="1"/>
    <xf numFmtId="173" fontId="5" fillId="7" borderId="13" xfId="2" applyNumberFormat="1" applyFont="1" applyFill="1" applyBorder="1"/>
    <xf numFmtId="173" fontId="5" fillId="7" borderId="13" xfId="0" applyNumberFormat="1" applyFont="1" applyFill="1" applyBorder="1" applyAlignment="1">
      <alignment horizontal="right"/>
    </xf>
    <xf numFmtId="173" fontId="6" fillId="0" borderId="0" xfId="0" applyNumberFormat="1" applyFont="1" applyFill="1" applyBorder="1"/>
    <xf numFmtId="173" fontId="6" fillId="0" borderId="0" xfId="0" applyNumberFormat="1" applyFont="1" applyFill="1" applyBorder="1" applyAlignment="1">
      <alignment horizontal="center"/>
    </xf>
    <xf numFmtId="173" fontId="6" fillId="0" borderId="0" xfId="0" applyNumberFormat="1" applyFont="1" applyFill="1" applyBorder="1"/>
    <xf numFmtId="173" fontId="30" fillId="0" borderId="0" xfId="0" applyNumberFormat="1" applyFont="1"/>
    <xf numFmtId="173" fontId="5" fillId="7" borderId="0" xfId="2" applyNumberFormat="1" applyFont="1" applyFill="1"/>
    <xf numFmtId="173" fontId="6" fillId="8" borderId="0" xfId="0" applyNumberFormat="1" applyFont="1" applyFill="1" applyBorder="1"/>
    <xf numFmtId="173" fontId="6" fillId="8" borderId="0" xfId="0" applyNumberFormat="1" applyFont="1" applyFill="1" applyBorder="1"/>
    <xf numFmtId="173" fontId="5" fillId="45" borderId="1" xfId="2" applyNumberFormat="1" applyFont="1" applyFill="1" applyBorder="1"/>
    <xf numFmtId="173" fontId="5" fillId="45" borderId="2" xfId="2" applyNumberFormat="1" applyFont="1" applyFill="1" applyBorder="1"/>
    <xf numFmtId="173" fontId="5" fillId="45" borderId="2" xfId="0" applyNumberFormat="1" applyFont="1" applyFill="1" applyBorder="1" applyAlignment="1">
      <alignment horizontal="center"/>
    </xf>
    <xf numFmtId="173" fontId="5" fillId="45" borderId="2" xfId="0" applyNumberFormat="1" applyFont="1" applyFill="1" applyBorder="1"/>
    <xf numFmtId="173" fontId="5" fillId="0" borderId="0" xfId="2" applyNumberFormat="1" applyFont="1" applyFill="1" applyBorder="1"/>
    <xf numFmtId="173" fontId="6" fillId="0" borderId="0" xfId="0" applyNumberFormat="1" applyFont="1" applyFill="1" applyBorder="1" applyAlignment="1">
      <alignment horizontal="center"/>
    </xf>
    <xf numFmtId="173" fontId="5" fillId="0" borderId="0" xfId="0" applyNumberFormat="1" applyFont="1" applyFill="1" applyBorder="1"/>
    <xf numFmtId="173" fontId="5" fillId="7" borderId="5" xfId="0" applyNumberFormat="1" applyFont="1" applyFill="1" applyBorder="1" applyAlignment="1">
      <alignment horizontal="right"/>
    </xf>
    <xf numFmtId="173" fontId="6" fillId="0" borderId="24" xfId="0" applyNumberFormat="1" applyFont="1" applyFill="1" applyBorder="1"/>
    <xf numFmtId="173" fontId="6" fillId="0" borderId="0" xfId="2" applyNumberFormat="1" applyFont="1" applyFill="1"/>
    <xf numFmtId="173" fontId="1" fillId="0" borderId="24" xfId="0" applyNumberFormat="1" applyFont="1" applyBorder="1"/>
    <xf numFmtId="173" fontId="5" fillId="45" borderId="12" xfId="0" applyNumberFormat="1" applyFont="1" applyFill="1" applyBorder="1"/>
    <xf numFmtId="173" fontId="5" fillId="45" borderId="13" xfId="0" applyNumberFormat="1" applyFont="1" applyFill="1" applyBorder="1"/>
    <xf numFmtId="173" fontId="5" fillId="45" borderId="13" xfId="0" applyNumberFormat="1" applyFont="1" applyFill="1" applyBorder="1" applyAlignment="1">
      <alignment horizontal="right"/>
    </xf>
    <xf numFmtId="173" fontId="5" fillId="45" borderId="13" xfId="0" applyNumberFormat="1" applyFont="1" applyFill="1" applyBorder="1"/>
    <xf numFmtId="173" fontId="1" fillId="0" borderId="0" xfId="0" applyNumberFormat="1" applyFont="1" applyAlignment="1">
      <alignment horizontal="right"/>
    </xf>
    <xf numFmtId="173" fontId="1" fillId="8" borderId="0" xfId="0" applyNumberFormat="1" applyFont="1" applyFill="1"/>
    <xf numFmtId="173" fontId="1" fillId="45" borderId="13" xfId="0" applyNumberFormat="1" applyFont="1" applyFill="1" applyBorder="1"/>
    <xf numFmtId="173" fontId="1" fillId="0" borderId="24" xfId="0" applyNumberFormat="1" applyFont="1" applyBorder="1" applyAlignment="1">
      <alignment horizontal="left"/>
    </xf>
    <xf numFmtId="173" fontId="1" fillId="29" borderId="12" xfId="0" applyNumberFormat="1" applyFont="1" applyFill="1" applyBorder="1"/>
    <xf numFmtId="173" fontId="1" fillId="29" borderId="13" xfId="0" applyNumberFormat="1" applyFont="1" applyFill="1" applyBorder="1"/>
    <xf numFmtId="173" fontId="5" fillId="45" borderId="28" xfId="0" applyNumberFormat="1" applyFont="1" applyFill="1" applyBorder="1"/>
    <xf numFmtId="173" fontId="5" fillId="45" borderId="14" xfId="1" applyNumberFormat="1" applyFont="1" applyFill="1" applyBorder="1"/>
    <xf numFmtId="173" fontId="5" fillId="7" borderId="0" xfId="0" applyNumberFormat="1" applyFont="1" applyFill="1" applyAlignment="1">
      <alignment horizontal="center"/>
    </xf>
    <xf numFmtId="173" fontId="1" fillId="11" borderId="14" xfId="0" applyNumberFormat="1" applyFont="1" applyFill="1" applyBorder="1"/>
    <xf numFmtId="173" fontId="5" fillId="34" borderId="0" xfId="0" applyNumberFormat="1" applyFont="1" applyFill="1"/>
    <xf numFmtId="173" fontId="1" fillId="0" borderId="0" xfId="0" applyNumberFormat="1" applyFont="1" applyBorder="1"/>
    <xf numFmtId="173" fontId="5" fillId="45" borderId="0" xfId="0" applyNumberFormat="1" applyFont="1" applyFill="1"/>
    <xf numFmtId="173" fontId="5" fillId="7" borderId="0" xfId="0" applyNumberFormat="1" applyFont="1" applyFill="1" applyBorder="1" applyAlignment="1">
      <alignment horizontal="right"/>
    </xf>
    <xf numFmtId="173" fontId="1" fillId="0" borderId="15" xfId="0" applyNumberFormat="1" applyFont="1" applyBorder="1"/>
    <xf numFmtId="173" fontId="1" fillId="0" borderId="15" xfId="0" applyNumberFormat="1" applyFont="1" applyBorder="1"/>
    <xf numFmtId="173" fontId="27" fillId="12" borderId="12" xfId="0" applyNumberFormat="1" applyFont="1" applyFill="1" applyBorder="1"/>
    <xf numFmtId="173" fontId="59" fillId="12" borderId="13" xfId="0" applyNumberFormat="1" applyFont="1" applyFill="1" applyBorder="1"/>
    <xf numFmtId="173" fontId="27" fillId="12" borderId="13" xfId="0" applyNumberFormat="1" applyFont="1" applyFill="1" applyBorder="1"/>
    <xf numFmtId="173" fontId="27" fillId="12" borderId="13" xfId="0" applyNumberFormat="1" applyFont="1" applyFill="1" applyBorder="1"/>
    <xf numFmtId="173" fontId="59" fillId="12" borderId="13" xfId="0" applyNumberFormat="1" applyFont="1" applyFill="1" applyBorder="1" applyAlignment="1">
      <alignment horizontal="right"/>
    </xf>
    <xf numFmtId="9" fontId="27" fillId="12" borderId="13" xfId="2" applyFont="1" applyFill="1" applyBorder="1"/>
    <xf numFmtId="173" fontId="27" fillId="12" borderId="13" xfId="0" applyNumberFormat="1" applyFont="1" applyFill="1" applyBorder="1" applyAlignment="1">
      <alignment horizontal="center"/>
    </xf>
    <xf numFmtId="167" fontId="27" fillId="12" borderId="13" xfId="2" applyNumberFormat="1" applyFont="1" applyFill="1" applyBorder="1"/>
    <xf numFmtId="173" fontId="27" fillId="12" borderId="24" xfId="0" applyNumberFormat="1" applyFont="1" applyFill="1" applyBorder="1" applyAlignment="1">
      <alignment horizontal="right"/>
    </xf>
    <xf numFmtId="173" fontId="61" fillId="0" borderId="0" xfId="0" applyNumberFormat="1" applyFont="1" applyFill="1"/>
    <xf numFmtId="173" fontId="27" fillId="43" borderId="4" xfId="0" applyNumberFormat="1" applyFont="1" applyFill="1" applyBorder="1"/>
    <xf numFmtId="173" fontId="27" fillId="43" borderId="10" xfId="0" applyNumberFormat="1" applyFont="1" applyFill="1" applyBorder="1"/>
    <xf numFmtId="173" fontId="27" fillId="7" borderId="0" xfId="0" applyNumberFormat="1" applyFont="1" applyFill="1" applyBorder="1"/>
    <xf numFmtId="173" fontId="27" fillId="12" borderId="0" xfId="0" applyNumberFormat="1" applyFont="1" applyFill="1"/>
    <xf numFmtId="173" fontId="27" fillId="5" borderId="0" xfId="0" applyNumberFormat="1" applyFont="1" applyFill="1"/>
    <xf numFmtId="173" fontId="59" fillId="7" borderId="0" xfId="0" applyNumberFormat="1" applyFont="1" applyFill="1"/>
    <xf numFmtId="173" fontId="27" fillId="44" borderId="0" xfId="0" applyNumberFormat="1" applyFont="1" applyFill="1"/>
    <xf numFmtId="173" fontId="1" fillId="0" borderId="9" xfId="0" applyNumberFormat="1" applyFont="1" applyBorder="1"/>
    <xf numFmtId="173" fontId="1" fillId="5" borderId="26" xfId="0" applyNumberFormat="1" applyFont="1" applyFill="1" applyBorder="1"/>
    <xf numFmtId="9" fontId="1" fillId="0" borderId="0" xfId="2" applyFont="1" applyAlignment="1">
      <alignment horizontal="center"/>
    </xf>
    <xf numFmtId="173" fontId="1" fillId="0" borderId="10" xfId="0" applyNumberFormat="1" applyFont="1" applyBorder="1" applyAlignment="1">
      <alignment horizontal="center"/>
    </xf>
    <xf numFmtId="173" fontId="1" fillId="5" borderId="0" xfId="0" applyNumberFormat="1" applyFont="1" applyFill="1"/>
    <xf numFmtId="167" fontId="1" fillId="0" borderId="0" xfId="2" applyNumberFormat="1" applyFont="1" applyAlignment="1">
      <alignment horizontal="center"/>
    </xf>
    <xf numFmtId="173" fontId="6" fillId="0" borderId="0" xfId="0" applyNumberFormat="1" applyFont="1" applyAlignment="1">
      <alignment horizontal="center"/>
    </xf>
    <xf numFmtId="173" fontId="6" fillId="0" borderId="0" xfId="0" applyNumberFormat="1" applyFont="1"/>
    <xf numFmtId="173" fontId="6" fillId="5" borderId="0" xfId="0" applyNumberFormat="1" applyFont="1" applyFill="1"/>
    <xf numFmtId="173" fontId="6" fillId="5" borderId="29" xfId="0" applyNumberFormat="1" applyFont="1" applyFill="1" applyBorder="1"/>
    <xf numFmtId="9" fontId="1" fillId="5" borderId="29" xfId="2" applyFont="1" applyFill="1" applyBorder="1" applyAlignment="1">
      <alignment horizontal="center"/>
    </xf>
    <xf numFmtId="173" fontId="5" fillId="6" borderId="9" xfId="0" applyNumberFormat="1" applyFont="1" applyFill="1" applyBorder="1" applyAlignment="1">
      <alignment horizontal="center"/>
    </xf>
    <xf numFmtId="173" fontId="1" fillId="43" borderId="6" xfId="0" applyNumberFormat="1" applyFont="1" applyFill="1" applyBorder="1"/>
    <xf numFmtId="173" fontId="5" fillId="7" borderId="12" xfId="0" applyNumberFormat="1" applyFont="1" applyFill="1" applyBorder="1"/>
    <xf numFmtId="173" fontId="63" fillId="7" borderId="13" xfId="0" applyNumberFormat="1" applyFont="1" applyFill="1" applyBorder="1" applyAlignment="1">
      <alignment horizontal="right"/>
    </xf>
    <xf numFmtId="173" fontId="5" fillId="7" borderId="13" xfId="2" applyNumberFormat="1" applyFont="1" applyFill="1" applyBorder="1" applyAlignment="1">
      <alignment horizontal="center"/>
    </xf>
    <xf numFmtId="9" fontId="5" fillId="7" borderId="13" xfId="2" applyFont="1" applyFill="1" applyBorder="1" applyAlignment="1"/>
    <xf numFmtId="9" fontId="5" fillId="7" borderId="13" xfId="2" applyFont="1" applyFill="1" applyBorder="1" applyAlignment="1">
      <alignment horizontal="center"/>
    </xf>
    <xf numFmtId="167" fontId="5" fillId="7" borderId="13" xfId="2" applyNumberFormat="1" applyFont="1" applyFill="1" applyBorder="1" applyAlignment="1">
      <alignment horizontal="center"/>
    </xf>
    <xf numFmtId="173" fontId="5" fillId="6" borderId="11" xfId="0" applyNumberFormat="1" applyFont="1" applyFill="1" applyBorder="1" applyAlignment="1">
      <alignment horizontal="center"/>
    </xf>
    <xf numFmtId="173" fontId="5" fillId="7" borderId="0" xfId="0" applyNumberFormat="1" applyFont="1" applyFill="1" applyBorder="1"/>
    <xf numFmtId="173" fontId="1" fillId="7" borderId="13" xfId="0" applyNumberFormat="1" applyFont="1" applyFill="1" applyBorder="1"/>
    <xf numFmtId="173" fontId="1" fillId="7" borderId="24" xfId="0" applyNumberFormat="1" applyFont="1" applyFill="1" applyBorder="1"/>
    <xf numFmtId="173" fontId="6" fillId="7" borderId="0" xfId="2" applyNumberFormat="1" applyFont="1" applyFill="1" applyBorder="1"/>
    <xf numFmtId="173" fontId="65" fillId="7" borderId="10" xfId="0" applyNumberFormat="1" applyFont="1" applyFill="1" applyBorder="1" applyAlignment="1">
      <alignment horizontal="right"/>
    </xf>
    <xf numFmtId="9" fontId="6" fillId="0" borderId="0" xfId="2" applyFont="1" applyFill="1" applyBorder="1"/>
    <xf numFmtId="167" fontId="6" fillId="0" borderId="0" xfId="2" applyNumberFormat="1" applyFont="1" applyFill="1" applyBorder="1"/>
    <xf numFmtId="173" fontId="6" fillId="43" borderId="10" xfId="0" applyNumberFormat="1" applyFont="1" applyFill="1" applyBorder="1" applyAlignment="1">
      <alignment horizontal="right"/>
    </xf>
    <xf numFmtId="173" fontId="6" fillId="43" borderId="0" xfId="0" applyNumberFormat="1" applyFont="1" applyFill="1"/>
    <xf numFmtId="173" fontId="6" fillId="43" borderId="10" xfId="0" applyNumberFormat="1" applyFont="1" applyFill="1" applyBorder="1"/>
    <xf numFmtId="173" fontId="6" fillId="7" borderId="0" xfId="0" applyNumberFormat="1" applyFont="1" applyFill="1" applyBorder="1"/>
    <xf numFmtId="173" fontId="6" fillId="44" borderId="0" xfId="0" applyNumberFormat="1" applyFont="1" applyFill="1"/>
    <xf numFmtId="173" fontId="5" fillId="7" borderId="10" xfId="0" applyNumberFormat="1" applyFont="1" applyFill="1" applyBorder="1" applyAlignment="1">
      <alignment horizontal="center"/>
    </xf>
    <xf numFmtId="173" fontId="1" fillId="0" borderId="0" xfId="2" applyNumberFormat="1" applyFont="1" applyBorder="1"/>
    <xf numFmtId="173" fontId="6" fillId="0" borderId="0" xfId="0" applyNumberFormat="1" applyFont="1" applyBorder="1"/>
    <xf numFmtId="173" fontId="6" fillId="0" borderId="0" xfId="0" applyNumberFormat="1" applyFont="1" applyBorder="1" applyAlignment="1">
      <alignment horizontal="center"/>
    </xf>
    <xf numFmtId="173" fontId="1" fillId="0" borderId="0" xfId="0" applyNumberFormat="1" applyFont="1" applyBorder="1" applyAlignment="1">
      <alignment horizontal="center"/>
    </xf>
    <xf numFmtId="167" fontId="1" fillId="0" borderId="0" xfId="2" applyNumberFormat="1" applyFont="1" applyBorder="1"/>
    <xf numFmtId="173" fontId="1" fillId="0" borderId="0" xfId="0" applyNumberFormat="1" applyFont="1" applyBorder="1" applyAlignment="1">
      <alignment horizontal="left"/>
    </xf>
    <xf numFmtId="173" fontId="1" fillId="43" borderId="0" xfId="0" applyNumberFormat="1" applyFont="1" applyFill="1"/>
    <xf numFmtId="9" fontId="1" fillId="0" borderId="22" xfId="2" applyFont="1" applyBorder="1"/>
    <xf numFmtId="173" fontId="6" fillId="0" borderId="0" xfId="0" applyNumberFormat="1" applyFont="1" applyFill="1" applyBorder="1" applyAlignment="1"/>
    <xf numFmtId="173" fontId="1" fillId="43" borderId="4" xfId="0" applyNumberFormat="1" applyFont="1" applyFill="1" applyBorder="1" applyAlignment="1">
      <alignment horizontal="right"/>
    </xf>
    <xf numFmtId="173" fontId="6" fillId="29" borderId="0" xfId="0" applyNumberFormat="1" applyFont="1" applyFill="1" applyBorder="1"/>
    <xf numFmtId="173" fontId="6" fillId="29" borderId="0" xfId="0" applyNumberFormat="1" applyFont="1" applyFill="1"/>
    <xf numFmtId="173" fontId="6" fillId="0" borderId="0" xfId="2" applyNumberFormat="1" applyFont="1" applyBorder="1"/>
    <xf numFmtId="173" fontId="5" fillId="45" borderId="10" xfId="0" applyNumberFormat="1" applyFont="1" applyFill="1" applyBorder="1" applyAlignment="1">
      <alignment horizontal="center"/>
    </xf>
    <xf numFmtId="173" fontId="5" fillId="45" borderId="10" xfId="0" applyNumberFormat="1" applyFont="1" applyFill="1" applyBorder="1" applyAlignment="1">
      <alignment horizontal="right"/>
    </xf>
    <xf numFmtId="9" fontId="1" fillId="0" borderId="0" xfId="2" applyFont="1" applyBorder="1" applyAlignment="1">
      <alignment horizontal="right"/>
    </xf>
    <xf numFmtId="173" fontId="1" fillId="0" borderId="0" xfId="0" applyNumberFormat="1" applyFont="1" applyBorder="1" applyAlignment="1"/>
    <xf numFmtId="173" fontId="6" fillId="0" borderId="0" xfId="0" applyNumberFormat="1" applyFont="1" applyBorder="1"/>
    <xf numFmtId="173" fontId="1" fillId="43" borderId="10" xfId="0" applyNumberFormat="1" applyFont="1" applyFill="1" applyBorder="1" applyAlignment="1">
      <alignment horizontal="center"/>
    </xf>
    <xf numFmtId="173" fontId="1" fillId="7" borderId="0" xfId="0" applyNumberFormat="1" applyFont="1" applyFill="1" applyBorder="1" applyAlignment="1">
      <alignment horizontal="center"/>
    </xf>
    <xf numFmtId="173" fontId="1" fillId="0" borderId="14" xfId="0" applyNumberFormat="1" applyFont="1" applyBorder="1"/>
    <xf numFmtId="173" fontId="5" fillId="24" borderId="14" xfId="0" applyNumberFormat="1" applyFont="1" applyFill="1" applyBorder="1"/>
    <xf numFmtId="167" fontId="1" fillId="0" borderId="14" xfId="2" applyNumberFormat="1" applyFont="1" applyBorder="1"/>
    <xf numFmtId="173" fontId="1" fillId="0" borderId="0" xfId="2" applyNumberFormat="1" applyFont="1"/>
    <xf numFmtId="173" fontId="5" fillId="7" borderId="0" xfId="3" applyNumberFormat="1" applyFont="1" applyFill="1"/>
    <xf numFmtId="173" fontId="6" fillId="0" borderId="0" xfId="0" applyNumberFormat="1" applyFont="1"/>
    <xf numFmtId="173" fontId="5" fillId="7" borderId="11" xfId="0" applyNumberFormat="1" applyFont="1" applyFill="1" applyBorder="1" applyAlignment="1">
      <alignment horizontal="right"/>
    </xf>
    <xf numFmtId="173" fontId="1" fillId="43" borderId="0" xfId="2" applyNumberFormat="1" applyFont="1" applyFill="1"/>
    <xf numFmtId="173" fontId="68" fillId="7" borderId="24" xfId="0" applyNumberFormat="1" applyFont="1" applyFill="1" applyBorder="1" applyAlignment="1"/>
    <xf numFmtId="173" fontId="68" fillId="7" borderId="0" xfId="0" applyNumberFormat="1" applyFont="1" applyFill="1" applyBorder="1" applyAlignment="1"/>
    <xf numFmtId="173" fontId="68" fillId="7" borderId="0" xfId="0" applyNumberFormat="1" applyFont="1" applyFill="1"/>
    <xf numFmtId="173" fontId="68" fillId="7" borderId="10" xfId="0" applyNumberFormat="1" applyFont="1" applyFill="1" applyBorder="1" applyAlignment="1">
      <alignment horizontal="center"/>
    </xf>
    <xf numFmtId="173" fontId="68" fillId="7" borderId="0" xfId="0" applyNumberFormat="1" applyFont="1" applyFill="1" applyBorder="1" applyAlignment="1">
      <alignment horizontal="center"/>
    </xf>
    <xf numFmtId="173" fontId="5" fillId="40" borderId="0" xfId="0" applyNumberFormat="1" applyFont="1" applyFill="1"/>
    <xf numFmtId="173" fontId="5" fillId="40" borderId="0" xfId="0" applyNumberFormat="1" applyFont="1" applyFill="1"/>
    <xf numFmtId="173" fontId="5" fillId="40" borderId="0" xfId="0" applyNumberFormat="1" applyFont="1" applyFill="1" applyAlignment="1">
      <alignment horizontal="right"/>
    </xf>
    <xf numFmtId="9" fontId="5" fillId="40" borderId="0" xfId="2" applyFont="1" applyFill="1"/>
    <xf numFmtId="173" fontId="5" fillId="40" borderId="0" xfId="0" applyNumberFormat="1" applyFont="1" applyFill="1" applyAlignment="1">
      <alignment horizontal="center"/>
    </xf>
    <xf numFmtId="167" fontId="5" fillId="40" borderId="0" xfId="2" applyNumberFormat="1" applyFont="1" applyFill="1"/>
    <xf numFmtId="173" fontId="5" fillId="40" borderId="11" xfId="0" applyNumberFormat="1" applyFont="1" applyFill="1" applyBorder="1" applyAlignment="1">
      <alignment horizontal="right"/>
    </xf>
    <xf numFmtId="173" fontId="5" fillId="40" borderId="12" xfId="0" applyNumberFormat="1" applyFont="1" applyFill="1" applyBorder="1"/>
    <xf numFmtId="173" fontId="5" fillId="40" borderId="13" xfId="0" applyNumberFormat="1" applyFont="1" applyFill="1" applyBorder="1"/>
    <xf numFmtId="173" fontId="1" fillId="40" borderId="13" xfId="0" applyNumberFormat="1" applyFont="1" applyFill="1" applyBorder="1"/>
    <xf numFmtId="173" fontId="1" fillId="40" borderId="27" xfId="0" applyNumberFormat="1" applyFont="1" applyFill="1" applyBorder="1"/>
    <xf numFmtId="173" fontId="1" fillId="43" borderId="0" xfId="0" applyNumberFormat="1" applyFont="1" applyFill="1" applyAlignment="1">
      <alignment horizontal="right"/>
    </xf>
    <xf numFmtId="173" fontId="1" fillId="0" borderId="10" xfId="0" applyNumberFormat="1" applyFont="1" applyBorder="1"/>
    <xf numFmtId="173" fontId="1" fillId="5" borderId="6" xfId="0" applyNumberFormat="1" applyFont="1" applyFill="1" applyBorder="1"/>
    <xf numFmtId="173" fontId="1" fillId="5" borderId="7" xfId="0" applyFont="1" applyFill="1" applyBorder="1"/>
    <xf numFmtId="173" fontId="1" fillId="5" borderId="11" xfId="0" applyFont="1" applyFill="1" applyBorder="1" applyAlignment="1">
      <alignment horizontal="center"/>
    </xf>
    <xf numFmtId="173" fontId="1" fillId="5" borderId="8" xfId="0" applyFont="1" applyFill="1" applyBorder="1"/>
    <xf numFmtId="173" fontId="67" fillId="6" borderId="0" xfId="0" applyFont="1" applyFill="1"/>
    <xf numFmtId="173" fontId="67" fillId="7" borderId="13" xfId="0" applyNumberFormat="1" applyFont="1" applyFill="1" applyBorder="1"/>
    <xf numFmtId="173" fontId="67" fillId="7" borderId="0" xfId="0" applyFont="1" applyFill="1"/>
    <xf numFmtId="173" fontId="5" fillId="47" borderId="0" xfId="0" applyFont="1" applyFill="1"/>
    <xf numFmtId="173" fontId="5" fillId="47" borderId="0" xfId="0" applyFont="1" applyFill="1" applyBorder="1"/>
    <xf numFmtId="173" fontId="5" fillId="7" borderId="0" xfId="0" applyNumberFormat="1" applyFont="1" applyFill="1" applyBorder="1"/>
    <xf numFmtId="173" fontId="70" fillId="47" borderId="0" xfId="0" applyFont="1" applyFill="1" applyBorder="1"/>
    <xf numFmtId="173" fontId="6" fillId="0" borderId="0" xfId="0" applyFont="1" applyFill="1" applyAlignment="1">
      <alignment horizontal="center"/>
    </xf>
    <xf numFmtId="173" fontId="57" fillId="7" borderId="13" xfId="0" applyNumberFormat="1" applyFont="1" applyFill="1" applyBorder="1" applyAlignment="1"/>
    <xf numFmtId="173" fontId="67" fillId="6" borderId="0" xfId="0" applyFont="1" applyFill="1" applyBorder="1"/>
    <xf numFmtId="173" fontId="67" fillId="7" borderId="0" xfId="0" applyFont="1" applyFill="1" applyBorder="1"/>
    <xf numFmtId="173" fontId="67" fillId="7" borderId="0" xfId="0" applyFont="1" applyFill="1" applyBorder="1" applyAlignment="1">
      <alignment horizontal="center"/>
    </xf>
    <xf numFmtId="173" fontId="67" fillId="47" borderId="0" xfId="0" applyFont="1" applyFill="1" applyBorder="1"/>
    <xf numFmtId="173" fontId="5" fillId="47" borderId="0" xfId="0" applyFont="1" applyFill="1" applyBorder="1" applyAlignment="1">
      <alignment horizontal="center"/>
    </xf>
    <xf numFmtId="173" fontId="67" fillId="47" borderId="0" xfId="0" applyFont="1" applyFill="1" applyBorder="1" applyAlignment="1">
      <alignment horizontal="center"/>
    </xf>
    <xf numFmtId="173" fontId="69" fillId="47" borderId="0" xfId="0" applyFont="1" applyFill="1" applyBorder="1"/>
    <xf numFmtId="173" fontId="71" fillId="7" borderId="0" xfId="0" applyFont="1" applyFill="1" applyBorder="1"/>
    <xf numFmtId="173" fontId="72" fillId="7" borderId="0" xfId="0" applyFont="1" applyFill="1" applyBorder="1"/>
    <xf numFmtId="173" fontId="72" fillId="7" borderId="0" xfId="0" applyFont="1" applyFill="1" applyBorder="1" applyAlignment="1">
      <alignment horizontal="center"/>
    </xf>
    <xf numFmtId="173" fontId="72" fillId="47" borderId="0" xfId="0" applyFont="1" applyFill="1" applyBorder="1"/>
    <xf numFmtId="173" fontId="72" fillId="47" borderId="0" xfId="0" applyFont="1" applyFill="1" applyBorder="1" applyAlignment="1">
      <alignment horizontal="center"/>
    </xf>
    <xf numFmtId="173" fontId="73" fillId="47" borderId="0" xfId="0" applyFont="1" applyFill="1" applyBorder="1"/>
    <xf numFmtId="173" fontId="74" fillId="0" borderId="0" xfId="0" applyFont="1"/>
    <xf numFmtId="166" fontId="5" fillId="6" borderId="0" xfId="0" applyNumberFormat="1" applyFont="1" applyFill="1"/>
    <xf numFmtId="166" fontId="5" fillId="7" borderId="0" xfId="0" applyNumberFormat="1" applyFont="1" applyFill="1"/>
    <xf numFmtId="173" fontId="1" fillId="11" borderId="24" xfId="0" applyFont="1" applyFill="1" applyBorder="1" applyAlignment="1">
      <alignment horizontal="center"/>
    </xf>
    <xf numFmtId="173" fontId="5" fillId="6" borderId="0" xfId="0" applyFont="1" applyFill="1" applyBorder="1"/>
    <xf numFmtId="173" fontId="5" fillId="47" borderId="0" xfId="0" applyNumberFormat="1" applyFont="1" applyFill="1" applyBorder="1"/>
    <xf numFmtId="173" fontId="5" fillId="19" borderId="0" xfId="0" applyFont="1" applyFill="1" applyBorder="1"/>
    <xf numFmtId="173" fontId="5" fillId="19" borderId="0" xfId="0" applyNumberFormat="1" applyFont="1" applyFill="1" applyBorder="1"/>
    <xf numFmtId="173" fontId="1" fillId="0" borderId="1" xfId="0" applyFont="1" applyBorder="1" applyAlignment="1">
      <alignment horizontal="center"/>
    </xf>
    <xf numFmtId="173" fontId="1" fillId="0" borderId="2" xfId="0" applyFont="1" applyBorder="1" applyAlignment="1">
      <alignment horizontal="center"/>
    </xf>
    <xf numFmtId="173" fontId="5" fillId="6" borderId="5" xfId="0" applyFont="1" applyFill="1" applyBorder="1"/>
    <xf numFmtId="173" fontId="5" fillId="47" borderId="5" xfId="0" applyFont="1" applyFill="1" applyBorder="1"/>
    <xf numFmtId="173" fontId="5" fillId="19" borderId="4" xfId="0" applyFont="1" applyFill="1" applyBorder="1"/>
    <xf numFmtId="173" fontId="5" fillId="19" borderId="5" xfId="0" applyFont="1" applyFill="1" applyBorder="1"/>
    <xf numFmtId="173" fontId="5" fillId="6" borderId="7" xfId="0" applyNumberFormat="1" applyFont="1" applyFill="1" applyBorder="1"/>
    <xf numFmtId="173" fontId="5" fillId="6" borderId="7" xfId="0" applyFont="1" applyFill="1" applyBorder="1"/>
    <xf numFmtId="173" fontId="5" fillId="6" borderId="8" xfId="0" applyFont="1" applyFill="1" applyBorder="1"/>
    <xf numFmtId="173" fontId="6" fillId="7" borderId="0" xfId="0" applyFont="1" applyFill="1"/>
    <xf numFmtId="173" fontId="5" fillId="47" borderId="0" xfId="0" applyNumberFormat="1" applyFont="1" applyFill="1"/>
    <xf numFmtId="173" fontId="5" fillId="7" borderId="4" xfId="0" applyNumberFormat="1" applyFont="1" applyFill="1" applyBorder="1"/>
    <xf numFmtId="10" fontId="5" fillId="7" borderId="0" xfId="0" applyNumberFormat="1" applyFont="1" applyFill="1" applyBorder="1"/>
    <xf numFmtId="173" fontId="1" fillId="6" borderId="0" xfId="0" applyFont="1" applyFill="1" applyAlignment="1">
      <alignment horizontal="center"/>
    </xf>
    <xf numFmtId="173" fontId="45" fillId="7" borderId="0" xfId="0" applyFont="1" applyFill="1"/>
    <xf numFmtId="173" fontId="51" fillId="7" borderId="0" xfId="0" applyFont="1" applyFill="1"/>
    <xf numFmtId="173" fontId="1" fillId="7" borderId="0" xfId="0" applyFont="1" applyFill="1" applyAlignment="1">
      <alignment horizontal="center"/>
    </xf>
    <xf numFmtId="173" fontId="1" fillId="7" borderId="0" xfId="0" applyNumberFormat="1" applyFont="1" applyFill="1"/>
    <xf numFmtId="173" fontId="75" fillId="7" borderId="0" xfId="0" applyFont="1" applyFill="1"/>
    <xf numFmtId="173" fontId="76" fillId="7" borderId="0" xfId="0" applyFont="1" applyFill="1"/>
    <xf numFmtId="173" fontId="20" fillId="7" borderId="0" xfId="0" applyFont="1" applyFill="1"/>
    <xf numFmtId="173" fontId="77" fillId="7" borderId="0" xfId="0" applyFont="1" applyFill="1"/>
    <xf numFmtId="173" fontId="78" fillId="7" borderId="0" xfId="0" applyFont="1" applyFill="1"/>
    <xf numFmtId="10" fontId="5" fillId="47" borderId="2" xfId="0" applyNumberFormat="1" applyFont="1" applyFill="1" applyBorder="1"/>
    <xf numFmtId="173" fontId="5" fillId="47" borderId="2" xfId="0" applyFont="1" applyFill="1" applyBorder="1"/>
    <xf numFmtId="173" fontId="5" fillId="47" borderId="3" xfId="0" applyFont="1" applyFill="1" applyBorder="1"/>
    <xf numFmtId="173" fontId="1" fillId="7" borderId="0" xfId="0" applyFont="1" applyFill="1" applyBorder="1"/>
    <xf numFmtId="173" fontId="1" fillId="33" borderId="0" xfId="0" applyFont="1" applyFill="1" applyBorder="1"/>
    <xf numFmtId="173" fontId="6" fillId="33" borderId="0" xfId="0" applyFont="1" applyFill="1" applyBorder="1"/>
    <xf numFmtId="173" fontId="5" fillId="33" borderId="0" xfId="0" applyFont="1" applyFill="1" applyBorder="1"/>
    <xf numFmtId="173" fontId="5" fillId="19" borderId="4" xfId="0" applyNumberFormat="1" applyFont="1" applyFill="1" applyBorder="1"/>
    <xf numFmtId="10" fontId="5" fillId="19" borderId="0" xfId="0" applyNumberFormat="1" applyFont="1" applyFill="1" applyBorder="1"/>
    <xf numFmtId="173" fontId="5" fillId="19" borderId="5" xfId="0" applyNumberFormat="1" applyFont="1" applyFill="1" applyBorder="1"/>
    <xf numFmtId="0" fontId="1" fillId="33" borderId="0" xfId="0" applyNumberFormat="1" applyFont="1" applyFill="1" applyBorder="1"/>
    <xf numFmtId="0" fontId="1" fillId="33" borderId="30" xfId="0" applyNumberFormat="1" applyFont="1" applyFill="1" applyBorder="1"/>
    <xf numFmtId="169" fontId="6" fillId="33" borderId="0" xfId="2" applyNumberFormat="1" applyFont="1" applyFill="1" applyBorder="1"/>
    <xf numFmtId="169" fontId="6" fillId="0" borderId="0" xfId="2" applyNumberFormat="1" applyFont="1" applyFill="1"/>
    <xf numFmtId="0" fontId="6" fillId="0" borderId="0" xfId="0" applyNumberFormat="1" applyFont="1" applyFill="1" applyAlignment="1">
      <alignment horizontal="right"/>
    </xf>
    <xf numFmtId="0" fontId="1" fillId="0" borderId="0" xfId="0" applyNumberFormat="1" applyFont="1"/>
    <xf numFmtId="0" fontId="6" fillId="33" borderId="0" xfId="0" applyNumberFormat="1" applyFont="1" applyFill="1" applyBorder="1" applyAlignment="1">
      <alignment horizontal="right"/>
    </xf>
    <xf numFmtId="0" fontId="1" fillId="0" borderId="0" xfId="0" applyNumberFormat="1" applyFont="1" applyAlignment="1">
      <alignment horizontal="right"/>
    </xf>
    <xf numFmtId="0" fontId="6" fillId="0" borderId="0" xfId="0" applyNumberFormat="1" applyFont="1" applyFill="1" applyBorder="1" applyAlignment="1">
      <alignment horizontal="right"/>
    </xf>
    <xf numFmtId="0" fontId="1" fillId="0" borderId="0" xfId="0" applyNumberFormat="1" applyFont="1" applyFill="1"/>
    <xf numFmtId="0" fontId="1" fillId="0" borderId="0" xfId="0" applyNumberFormat="1" applyFont="1" applyFill="1" applyBorder="1" applyAlignment="1">
      <alignment horizontal="right"/>
    </xf>
    <xf numFmtId="0" fontId="4" fillId="0" borderId="0" xfId="0" applyNumberFormat="1" applyFont="1"/>
    <xf numFmtId="0" fontId="6" fillId="0" borderId="0" xfId="2" applyNumberFormat="1" applyFont="1" applyFill="1"/>
    <xf numFmtId="0" fontId="5" fillId="19" borderId="0" xfId="2" applyNumberFormat="1" applyFont="1" applyFill="1"/>
    <xf numFmtId="0" fontId="1" fillId="0" borderId="0" xfId="0" applyNumberFormat="1" applyFont="1" applyAlignment="1">
      <alignment horizontal="center"/>
    </xf>
    <xf numFmtId="0" fontId="5" fillId="7" borderId="0" xfId="0" applyNumberFormat="1" applyFont="1" applyFill="1" applyBorder="1" applyAlignment="1">
      <alignment horizontal="right"/>
    </xf>
    <xf numFmtId="0" fontId="5" fillId="7" borderId="0" xfId="0" applyNumberFormat="1" applyFont="1" applyFill="1" applyAlignment="1">
      <alignment horizontal="center"/>
    </xf>
    <xf numFmtId="0" fontId="1" fillId="33" borderId="0" xfId="0" applyNumberFormat="1" applyFont="1" applyFill="1" applyBorder="1" applyAlignment="1">
      <alignment horizontal="center"/>
    </xf>
    <xf numFmtId="0" fontId="1" fillId="33" borderId="0" xfId="0" applyNumberFormat="1" applyFont="1" applyFill="1" applyAlignment="1">
      <alignment horizontal="center"/>
    </xf>
    <xf numFmtId="173" fontId="5" fillId="0" borderId="0" xfId="0" applyNumberFormat="1" applyFont="1" applyFill="1" applyAlignment="1">
      <alignment horizontal="center"/>
    </xf>
    <xf numFmtId="0" fontId="5" fillId="7" borderId="0" xfId="0" applyNumberFormat="1" applyFont="1" applyFill="1"/>
    <xf numFmtId="0" fontId="5" fillId="38" borderId="0" xfId="0" applyNumberFormat="1" applyFont="1" applyFill="1" applyAlignment="1">
      <alignment horizontal="center"/>
    </xf>
    <xf numFmtId="0" fontId="6" fillId="33" borderId="0" xfId="0" applyNumberFormat="1" applyFont="1" applyFill="1" applyAlignment="1">
      <alignment horizontal="center"/>
    </xf>
    <xf numFmtId="173" fontId="6" fillId="33" borderId="0" xfId="0" applyNumberFormat="1" applyFont="1" applyFill="1"/>
    <xf numFmtId="9" fontId="5" fillId="7" borderId="0" xfId="2" applyFont="1" applyFill="1" applyAlignment="1">
      <alignment horizontal="center"/>
    </xf>
    <xf numFmtId="173" fontId="1" fillId="19" borderId="0" xfId="0" applyFont="1" applyFill="1"/>
    <xf numFmtId="0" fontId="1" fillId="34" borderId="0" xfId="0" applyNumberFormat="1" applyFont="1" applyFill="1"/>
    <xf numFmtId="0" fontId="5" fillId="34" borderId="0" xfId="0" applyNumberFormat="1" applyFont="1" applyFill="1"/>
    <xf numFmtId="0" fontId="1" fillId="7" borderId="0" xfId="0" applyNumberFormat="1" applyFont="1" applyFill="1"/>
    <xf numFmtId="166" fontId="5" fillId="19" borderId="0" xfId="0" applyNumberFormat="1" applyFont="1" applyFill="1" applyAlignment="1">
      <alignment horizontal="center"/>
    </xf>
    <xf numFmtId="166" fontId="5" fillId="7" borderId="0" xfId="0" applyNumberFormat="1" applyFont="1" applyFill="1" applyAlignment="1">
      <alignment horizontal="center"/>
    </xf>
    <xf numFmtId="173" fontId="1" fillId="19" borderId="0" xfId="0" applyFont="1" applyFill="1" applyBorder="1"/>
    <xf numFmtId="0" fontId="5" fillId="34" borderId="12" xfId="0" applyNumberFormat="1" applyFont="1" applyFill="1" applyBorder="1"/>
    <xf numFmtId="166" fontId="5" fillId="19" borderId="13" xfId="0" applyNumberFormat="1" applyFont="1" applyFill="1" applyBorder="1" applyAlignment="1">
      <alignment horizontal="center"/>
    </xf>
    <xf numFmtId="173" fontId="5" fillId="19" borderId="27" xfId="0" applyNumberFormat="1" applyFont="1" applyFill="1" applyBorder="1"/>
    <xf numFmtId="0" fontId="5" fillId="6" borderId="0" xfId="0" applyNumberFormat="1" applyFont="1" applyFill="1"/>
    <xf numFmtId="0" fontId="5" fillId="7" borderId="11" xfId="0" applyNumberFormat="1" applyFont="1" applyFill="1" applyBorder="1"/>
    <xf numFmtId="173" fontId="1" fillId="38" borderId="0" xfId="0" applyFont="1" applyFill="1" applyAlignment="1">
      <alignment horizontal="center"/>
    </xf>
    <xf numFmtId="173" fontId="5" fillId="38" borderId="0" xfId="0" applyNumberFormat="1" applyFont="1" applyFill="1" applyAlignment="1">
      <alignment horizontal="center"/>
    </xf>
    <xf numFmtId="173" fontId="5" fillId="38" borderId="14" xfId="0" applyNumberFormat="1" applyFont="1" applyFill="1" applyBorder="1" applyAlignment="1">
      <alignment horizontal="center"/>
    </xf>
    <xf numFmtId="164" fontId="5" fillId="6" borderId="0" xfId="3" applyNumberFormat="1" applyFont="1" applyFill="1"/>
    <xf numFmtId="173" fontId="5" fillId="7" borderId="24" xfId="0" applyFont="1" applyFill="1" applyBorder="1" applyAlignment="1">
      <alignment horizontal="center"/>
    </xf>
    <xf numFmtId="164" fontId="5" fillId="7" borderId="0" xfId="3" applyNumberFormat="1" applyFont="1" applyFill="1"/>
    <xf numFmtId="173" fontId="1" fillId="7" borderId="24" xfId="0" applyFont="1" applyFill="1" applyBorder="1"/>
    <xf numFmtId="0" fontId="5" fillId="7" borderId="24" xfId="0" applyNumberFormat="1" applyFont="1" applyFill="1" applyBorder="1"/>
    <xf numFmtId="173" fontId="79" fillId="5" borderId="0" xfId="0" applyFont="1" applyFill="1"/>
    <xf numFmtId="0" fontId="1" fillId="0" borderId="15" xfId="0" applyNumberFormat="1" applyFont="1" applyBorder="1"/>
    <xf numFmtId="0" fontId="5" fillId="47" borderId="24" xfId="0" applyNumberFormat="1" applyFont="1" applyFill="1" applyBorder="1"/>
    <xf numFmtId="0" fontId="5" fillId="6" borderId="0" xfId="0" applyNumberFormat="1" applyFont="1" applyFill="1" applyAlignment="1">
      <alignment horizontal="center"/>
    </xf>
    <xf numFmtId="173" fontId="5" fillId="47" borderId="0" xfId="0" applyFont="1" applyFill="1" applyAlignment="1">
      <alignment horizontal="right"/>
    </xf>
    <xf numFmtId="0" fontId="5" fillId="47" borderId="0" xfId="0" applyNumberFormat="1" applyFont="1" applyFill="1"/>
    <xf numFmtId="166" fontId="5" fillId="47" borderId="26" xfId="0" applyNumberFormat="1" applyFont="1" applyFill="1" applyBorder="1"/>
    <xf numFmtId="166" fontId="5" fillId="47" borderId="0" xfId="0" applyNumberFormat="1" applyFont="1" applyFill="1"/>
    <xf numFmtId="0" fontId="5" fillId="6" borderId="0" xfId="0" applyNumberFormat="1" applyFont="1" applyFill="1" applyBorder="1" applyAlignment="1">
      <alignment horizontal="center"/>
    </xf>
    <xf numFmtId="0" fontId="5" fillId="7" borderId="0" xfId="0" applyNumberFormat="1" applyFont="1" applyFill="1" applyBorder="1" applyAlignment="1">
      <alignment horizontal="center"/>
    </xf>
    <xf numFmtId="0" fontId="1" fillId="0" borderId="0" xfId="1" applyNumberFormat="1" applyFont="1"/>
    <xf numFmtId="0" fontId="6" fillId="0" borderId="0" xfId="0" applyNumberFormat="1" applyFont="1" applyFill="1" applyBorder="1"/>
    <xf numFmtId="4" fontId="6" fillId="0" borderId="0" xfId="0" applyNumberFormat="1" applyFont="1" applyFill="1" applyBorder="1"/>
    <xf numFmtId="0" fontId="72" fillId="7" borderId="0" xfId="0" applyNumberFormat="1" applyFont="1" applyFill="1" applyBorder="1" applyAlignment="1">
      <alignment horizontal="center"/>
    </xf>
    <xf numFmtId="0" fontId="5" fillId="47" borderId="0" xfId="0" applyNumberFormat="1" applyFont="1" applyFill="1" applyBorder="1" applyAlignment="1">
      <alignment horizontal="center"/>
    </xf>
    <xf numFmtId="0" fontId="72" fillId="47" borderId="0" xfId="0" applyNumberFormat="1" applyFont="1" applyFill="1" applyBorder="1" applyAlignment="1">
      <alignment horizontal="center"/>
    </xf>
    <xf numFmtId="0" fontId="49" fillId="0" borderId="0" xfId="0" applyNumberFormat="1" applyFont="1" applyFill="1" applyBorder="1"/>
    <xf numFmtId="164" fontId="6" fillId="11" borderId="0" xfId="3" applyNumberFormat="1" applyFont="1" applyFill="1"/>
    <xf numFmtId="173" fontId="6" fillId="11" borderId="1" xfId="0" applyNumberFormat="1" applyFont="1" applyFill="1" applyBorder="1"/>
    <xf numFmtId="173" fontId="38" fillId="0" borderId="0" xfId="0" applyFont="1" applyBorder="1"/>
    <xf numFmtId="0" fontId="1" fillId="7" borderId="0" xfId="0" applyNumberFormat="1" applyFont="1" applyFill="1" applyAlignment="1">
      <alignment horizontal="center"/>
    </xf>
    <xf numFmtId="0" fontId="56" fillId="7" borderId="0" xfId="0" applyNumberFormat="1" applyFont="1" applyFill="1" applyAlignment="1">
      <alignment horizontal="center"/>
    </xf>
    <xf numFmtId="166" fontId="1" fillId="11" borderId="0" xfId="2" applyNumberFormat="1" applyFont="1" applyFill="1"/>
    <xf numFmtId="173" fontId="1" fillId="11" borderId="0" xfId="0" applyFont="1" applyFill="1"/>
    <xf numFmtId="173" fontId="6" fillId="33" borderId="24" xfId="0" applyFont="1" applyFill="1" applyBorder="1"/>
    <xf numFmtId="9" fontId="5" fillId="7" borderId="24" xfId="2" applyFont="1" applyFill="1" applyBorder="1"/>
    <xf numFmtId="173" fontId="1" fillId="47" borderId="4" xfId="0" applyFont="1" applyFill="1" applyBorder="1"/>
    <xf numFmtId="173" fontId="1" fillId="47" borderId="0" xfId="0" applyFont="1" applyFill="1" applyBorder="1"/>
    <xf numFmtId="173" fontId="6" fillId="33" borderId="4" xfId="0" applyNumberFormat="1" applyFont="1" applyFill="1" applyBorder="1"/>
    <xf numFmtId="173" fontId="5" fillId="38" borderId="1" xfId="0" applyFont="1" applyFill="1" applyBorder="1" applyAlignment="1">
      <alignment horizontal="right"/>
    </xf>
    <xf numFmtId="173" fontId="5" fillId="42" borderId="6" xfId="0" applyFont="1" applyFill="1" applyBorder="1" applyAlignment="1">
      <alignment horizontal="right"/>
    </xf>
    <xf numFmtId="173" fontId="5" fillId="42" borderId="8" xfId="0" applyNumberFormat="1" applyFont="1" applyFill="1" applyBorder="1"/>
    <xf numFmtId="0" fontId="15" fillId="0" borderId="0" xfId="0" applyNumberFormat="1" applyFont="1" applyAlignment="1">
      <alignment horizontal="center"/>
    </xf>
    <xf numFmtId="0" fontId="56" fillId="7" borderId="13" xfId="0" applyNumberFormat="1" applyFont="1" applyFill="1" applyBorder="1" applyAlignment="1">
      <alignment horizontal="center"/>
    </xf>
    <xf numFmtId="0" fontId="18" fillId="0" borderId="0" xfId="0" applyNumberFormat="1" applyFont="1" applyFill="1" applyBorder="1" applyAlignment="1">
      <alignment horizontal="center"/>
    </xf>
    <xf numFmtId="0" fontId="6" fillId="8" borderId="0" xfId="0" applyNumberFormat="1" applyFont="1" applyFill="1" applyBorder="1" applyAlignment="1">
      <alignment horizontal="left"/>
    </xf>
    <xf numFmtId="0" fontId="5" fillId="45" borderId="2" xfId="0" applyNumberFormat="1" applyFont="1" applyFill="1" applyBorder="1" applyAlignment="1">
      <alignment horizontal="center"/>
    </xf>
    <xf numFmtId="0" fontId="6" fillId="0" borderId="0" xfId="0" applyNumberFormat="1" applyFont="1" applyFill="1" applyBorder="1" applyAlignment="1">
      <alignment horizontal="center"/>
    </xf>
    <xf numFmtId="0" fontId="18" fillId="11" borderId="24" xfId="0" applyNumberFormat="1" applyFont="1" applyFill="1" applyBorder="1" applyAlignment="1">
      <alignment horizontal="center"/>
    </xf>
    <xf numFmtId="0" fontId="56" fillId="45" borderId="13" xfId="0" applyNumberFormat="1" applyFont="1" applyFill="1" applyBorder="1" applyAlignment="1">
      <alignment horizontal="center"/>
    </xf>
    <xf numFmtId="0" fontId="18" fillId="14" borderId="24" xfId="0" applyNumberFormat="1" applyFont="1" applyFill="1" applyBorder="1" applyAlignment="1">
      <alignment horizontal="center"/>
    </xf>
    <xf numFmtId="0" fontId="15" fillId="16" borderId="24" xfId="0" applyNumberFormat="1" applyFont="1" applyFill="1" applyBorder="1" applyAlignment="1">
      <alignment horizontal="center"/>
    </xf>
    <xf numFmtId="0" fontId="15" fillId="12" borderId="24" xfId="0" applyNumberFormat="1" applyFont="1" applyFill="1" applyBorder="1" applyAlignment="1">
      <alignment horizontal="center"/>
    </xf>
    <xf numFmtId="0" fontId="56" fillId="34" borderId="0" xfId="0" applyNumberFormat="1" applyFont="1" applyFill="1" applyAlignment="1">
      <alignment horizontal="center"/>
    </xf>
    <xf numFmtId="0" fontId="56" fillId="45" borderId="0" xfId="0" applyNumberFormat="1" applyFont="1" applyFill="1" applyAlignment="1">
      <alignment horizontal="center"/>
    </xf>
    <xf numFmtId="0" fontId="18" fillId="0" borderId="0" xfId="0" applyNumberFormat="1" applyFont="1" applyFill="1" applyAlignment="1">
      <alignment horizontal="center"/>
    </xf>
    <xf numFmtId="0" fontId="60" fillId="12" borderId="13" xfId="0" applyNumberFormat="1" applyFont="1" applyFill="1" applyBorder="1" applyAlignment="1">
      <alignment horizontal="center"/>
    </xf>
    <xf numFmtId="0" fontId="6" fillId="0" borderId="0" xfId="0" applyNumberFormat="1" applyFont="1" applyFill="1" applyAlignment="1">
      <alignment horizontal="center"/>
    </xf>
    <xf numFmtId="0" fontId="56" fillId="40" borderId="0" xfId="0" applyNumberFormat="1" applyFont="1" applyFill="1" applyAlignment="1">
      <alignment horizontal="center"/>
    </xf>
    <xf numFmtId="0" fontId="5" fillId="7" borderId="13" xfId="0" applyNumberFormat="1" applyFont="1" applyFill="1" applyBorder="1" applyAlignment="1">
      <alignment horizontal="center"/>
    </xf>
    <xf numFmtId="0" fontId="6" fillId="0" borderId="24" xfId="0" applyNumberFormat="1" applyFont="1" applyFill="1" applyBorder="1" applyAlignment="1">
      <alignment horizontal="center"/>
    </xf>
    <xf numFmtId="0" fontId="5" fillId="45" borderId="13" xfId="0" applyNumberFormat="1" applyFont="1" applyFill="1" applyBorder="1" applyAlignment="1">
      <alignment horizontal="center"/>
    </xf>
    <xf numFmtId="0" fontId="1" fillId="0" borderId="0" xfId="0" applyNumberFormat="1" applyFont="1" applyBorder="1" applyAlignment="1">
      <alignment horizontal="center"/>
    </xf>
    <xf numFmtId="0" fontId="1" fillId="0" borderId="0" xfId="0" applyNumberFormat="1" applyFont="1" applyFill="1" applyBorder="1" applyAlignment="1">
      <alignment horizontal="center"/>
    </xf>
    <xf numFmtId="0" fontId="1" fillId="0" borderId="24" xfId="0" applyNumberFormat="1" applyFont="1" applyBorder="1" applyAlignment="1">
      <alignment horizontal="center"/>
    </xf>
    <xf numFmtId="0" fontId="1" fillId="0" borderId="14" xfId="0" applyNumberFormat="1" applyFont="1" applyBorder="1" applyAlignment="1">
      <alignment horizontal="center"/>
    </xf>
    <xf numFmtId="0" fontId="1" fillId="0" borderId="15" xfId="0" applyNumberFormat="1" applyFont="1" applyBorder="1" applyAlignment="1">
      <alignment horizontal="center"/>
    </xf>
    <xf numFmtId="0" fontId="27" fillId="12" borderId="13" xfId="0" applyNumberFormat="1" applyFont="1" applyFill="1" applyBorder="1" applyAlignment="1">
      <alignment horizontal="center"/>
    </xf>
    <xf numFmtId="0" fontId="5" fillId="40" borderId="0" xfId="0" applyNumberFormat="1" applyFont="1" applyFill="1" applyAlignment="1">
      <alignment horizontal="center"/>
    </xf>
    <xf numFmtId="0" fontId="5" fillId="7" borderId="13" xfId="0" applyNumberFormat="1" applyFont="1" applyFill="1" applyBorder="1"/>
    <xf numFmtId="0" fontId="5" fillId="45" borderId="2" xfId="0" applyNumberFormat="1" applyFont="1" applyFill="1" applyBorder="1"/>
    <xf numFmtId="0" fontId="5" fillId="45" borderId="13" xfId="0" applyNumberFormat="1" applyFont="1" applyFill="1" applyBorder="1"/>
    <xf numFmtId="0" fontId="1" fillId="29" borderId="13" xfId="0" applyNumberFormat="1" applyFont="1" applyFill="1" applyBorder="1"/>
    <xf numFmtId="0" fontId="5" fillId="45" borderId="14" xfId="0" applyNumberFormat="1" applyFont="1" applyFill="1" applyBorder="1"/>
    <xf numFmtId="0" fontId="1" fillId="0" borderId="0" xfId="2" applyNumberFormat="1" applyFont="1" applyAlignment="1">
      <alignment wrapText="1"/>
    </xf>
    <xf numFmtId="0" fontId="1" fillId="0" borderId="14" xfId="0" applyNumberFormat="1" applyFont="1" applyBorder="1"/>
    <xf numFmtId="0" fontId="1" fillId="0" borderId="0" xfId="0" applyNumberFormat="1" applyFont="1" applyBorder="1"/>
    <xf numFmtId="0" fontId="6" fillId="5" borderId="26" xfId="0" applyNumberFormat="1" applyFont="1" applyFill="1" applyBorder="1"/>
    <xf numFmtId="0" fontId="27" fillId="12" borderId="13" xfId="0" applyNumberFormat="1" applyFont="1" applyFill="1" applyBorder="1"/>
    <xf numFmtId="0" fontId="1" fillId="5" borderId="29" xfId="0" applyNumberFormat="1" applyFont="1" applyFill="1" applyBorder="1"/>
    <xf numFmtId="0" fontId="5" fillId="40" borderId="0" xfId="0" applyNumberFormat="1" applyFont="1" applyFill="1"/>
    <xf numFmtId="0" fontId="64" fillId="7" borderId="13" xfId="0" applyNumberFormat="1" applyFont="1" applyFill="1" applyBorder="1" applyAlignment="1">
      <alignment horizontal="center"/>
    </xf>
    <xf numFmtId="0" fontId="5" fillId="19" borderId="9" xfId="0" applyNumberFormat="1" applyFont="1" applyFill="1" applyBorder="1" applyAlignment="1">
      <alignment horizontal="right"/>
    </xf>
    <xf numFmtId="0" fontId="5" fillId="19" borderId="24" xfId="0" applyNumberFormat="1" applyFont="1" applyFill="1" applyBorder="1" applyAlignment="1">
      <alignment horizontal="right"/>
    </xf>
    <xf numFmtId="0" fontId="5" fillId="19" borderId="10" xfId="0" applyNumberFormat="1" applyFont="1" applyFill="1" applyBorder="1" applyAlignment="1">
      <alignment horizontal="right"/>
    </xf>
    <xf numFmtId="0" fontId="5" fillId="19" borderId="0" xfId="0" applyNumberFormat="1" applyFont="1" applyFill="1" applyBorder="1" applyAlignment="1">
      <alignment horizontal="right"/>
    </xf>
    <xf numFmtId="0" fontId="59" fillId="12" borderId="13" xfId="0" applyNumberFormat="1" applyFont="1" applyFill="1" applyBorder="1" applyAlignment="1">
      <alignment horizontal="right"/>
    </xf>
    <xf numFmtId="0" fontId="63" fillId="19" borderId="24" xfId="0" applyNumberFormat="1" applyFont="1" applyFill="1" applyBorder="1" applyAlignment="1">
      <alignment horizontal="right"/>
    </xf>
    <xf numFmtId="0" fontId="5" fillId="19" borderId="10" xfId="0" applyNumberFormat="1" applyFont="1" applyFill="1" applyBorder="1" applyAlignment="1">
      <alignment horizontal="center"/>
    </xf>
    <xf numFmtId="0" fontId="5" fillId="34" borderId="10" xfId="0" applyNumberFormat="1" applyFont="1" applyFill="1" applyBorder="1" applyAlignment="1">
      <alignment horizontal="center"/>
    </xf>
    <xf numFmtId="0" fontId="5" fillId="40" borderId="11" xfId="0" applyNumberFormat="1" applyFont="1" applyFill="1" applyBorder="1" applyAlignment="1">
      <alignment horizontal="right"/>
    </xf>
    <xf numFmtId="0" fontId="5" fillId="7" borderId="0" xfId="0" applyNumberFormat="1" applyFont="1" applyFill="1" applyAlignment="1">
      <alignment horizontal="right"/>
    </xf>
    <xf numFmtId="0" fontId="5" fillId="7" borderId="27" xfId="0" applyNumberFormat="1" applyFont="1" applyFill="1" applyBorder="1"/>
    <xf numFmtId="0" fontId="5" fillId="45" borderId="3" xfId="0" applyNumberFormat="1" applyFont="1" applyFill="1" applyBorder="1"/>
    <xf numFmtId="0" fontId="5" fillId="0" borderId="0" xfId="0" applyNumberFormat="1" applyFont="1" applyFill="1" applyBorder="1"/>
    <xf numFmtId="0" fontId="5" fillId="45" borderId="27" xfId="0" applyNumberFormat="1" applyFont="1" applyFill="1" applyBorder="1"/>
    <xf numFmtId="0" fontId="62" fillId="7" borderId="13" xfId="0" applyNumberFormat="1" applyFont="1" applyFill="1" applyBorder="1"/>
    <xf numFmtId="10" fontId="5" fillId="19" borderId="0" xfId="2" applyNumberFormat="1" applyFont="1" applyFill="1" applyBorder="1"/>
    <xf numFmtId="173" fontId="5" fillId="40" borderId="5" xfId="0" applyNumberFormat="1" applyFont="1" applyFill="1" applyBorder="1"/>
    <xf numFmtId="173" fontId="5" fillId="40" borderId="12" xfId="0" applyFont="1" applyFill="1" applyBorder="1"/>
    <xf numFmtId="166" fontId="40" fillId="40" borderId="13" xfId="0" applyNumberFormat="1" applyFont="1" applyFill="1" applyBorder="1"/>
    <xf numFmtId="173" fontId="5" fillId="40" borderId="13" xfId="0" applyFont="1" applyFill="1" applyBorder="1"/>
    <xf numFmtId="173" fontId="5" fillId="40" borderId="27" xfId="0" applyNumberFormat="1" applyFont="1" applyFill="1" applyBorder="1"/>
    <xf numFmtId="173" fontId="6" fillId="11" borderId="12" xfId="0" applyFont="1" applyFill="1" applyBorder="1"/>
    <xf numFmtId="9" fontId="6" fillId="11" borderId="13" xfId="2" applyFont="1" applyFill="1" applyBorder="1"/>
    <xf numFmtId="173" fontId="6" fillId="11" borderId="13" xfId="0" applyFont="1" applyFill="1" applyBorder="1"/>
    <xf numFmtId="173" fontId="6" fillId="11" borderId="27" xfId="0" applyFont="1" applyFill="1" applyBorder="1"/>
    <xf numFmtId="173" fontId="5" fillId="19" borderId="12" xfId="0" applyNumberFormat="1" applyFont="1" applyFill="1" applyBorder="1"/>
    <xf numFmtId="173" fontId="5" fillId="19" borderId="13" xfId="0" applyFont="1" applyFill="1" applyBorder="1"/>
    <xf numFmtId="173" fontId="5" fillId="19" borderId="27" xfId="0" applyFont="1" applyFill="1" applyBorder="1"/>
    <xf numFmtId="0" fontId="1" fillId="0" borderId="0" xfId="0" applyNumberFormat="1" applyFont="1" applyAlignment="1">
      <alignment horizontal="left"/>
    </xf>
    <xf numFmtId="173" fontId="5" fillId="7" borderId="7" xfId="0" quotePrefix="1" applyNumberFormat="1" applyFont="1" applyFill="1" applyBorder="1"/>
    <xf numFmtId="173" fontId="80" fillId="7" borderId="9" xfId="0" applyFont="1" applyFill="1" applyBorder="1" applyAlignment="1">
      <alignment horizontal="center"/>
    </xf>
    <xf numFmtId="173" fontId="1" fillId="0" borderId="10" xfId="0" applyFont="1" applyBorder="1"/>
    <xf numFmtId="9" fontId="1" fillId="2" borderId="10" xfId="0" applyNumberFormat="1" applyFont="1" applyFill="1" applyBorder="1"/>
    <xf numFmtId="173" fontId="1" fillId="0" borderId="9" xfId="0" applyFont="1" applyBorder="1"/>
    <xf numFmtId="173" fontId="1" fillId="17" borderId="10" xfId="0" applyFont="1" applyFill="1" applyBorder="1"/>
    <xf numFmtId="9" fontId="1" fillId="17" borderId="10" xfId="0" applyNumberFormat="1" applyFont="1" applyFill="1" applyBorder="1"/>
    <xf numFmtId="9" fontId="1" fillId="16" borderId="10" xfId="0" applyNumberFormat="1" applyFont="1" applyFill="1" applyBorder="1"/>
    <xf numFmtId="173" fontId="1" fillId="15" borderId="10" xfId="0" applyFont="1" applyFill="1" applyBorder="1"/>
    <xf numFmtId="9" fontId="1" fillId="15" borderId="10" xfId="0" applyNumberFormat="1" applyFont="1" applyFill="1" applyBorder="1"/>
    <xf numFmtId="9" fontId="1" fillId="0" borderId="10" xfId="0" applyNumberFormat="1" applyFont="1" applyFill="1" applyBorder="1"/>
    <xf numFmtId="9" fontId="1" fillId="24" borderId="10" xfId="0" applyNumberFormat="1" applyFont="1" applyFill="1" applyBorder="1"/>
    <xf numFmtId="173" fontId="1" fillId="13" borderId="10" xfId="0" applyFont="1" applyFill="1" applyBorder="1"/>
    <xf numFmtId="9" fontId="1" fillId="13" borderId="10" xfId="0" applyNumberFormat="1" applyFont="1" applyFill="1" applyBorder="1"/>
    <xf numFmtId="9" fontId="1" fillId="37" borderId="10" xfId="0" applyNumberFormat="1" applyFont="1" applyFill="1" applyBorder="1"/>
    <xf numFmtId="9" fontId="1" fillId="12" borderId="10" xfId="0" applyNumberFormat="1" applyFont="1" applyFill="1" applyBorder="1"/>
    <xf numFmtId="173" fontId="1" fillId="32" borderId="10" xfId="0" applyFont="1" applyFill="1" applyBorder="1"/>
    <xf numFmtId="9" fontId="1" fillId="32" borderId="11" xfId="0" applyNumberFormat="1" applyFont="1" applyFill="1" applyBorder="1"/>
    <xf numFmtId="0" fontId="45" fillId="7" borderId="0" xfId="0" applyNumberFormat="1" applyFont="1" applyFill="1"/>
    <xf numFmtId="0" fontId="80" fillId="7" borderId="9" xfId="0" applyNumberFormat="1" applyFont="1" applyFill="1" applyBorder="1" applyAlignment="1">
      <alignment horizontal="center"/>
    </xf>
    <xf numFmtId="0" fontId="20" fillId="7" borderId="0" xfId="0" applyNumberFormat="1" applyFont="1" applyFill="1"/>
    <xf numFmtId="0" fontId="51" fillId="7" borderId="0" xfId="0" applyNumberFormat="1" applyFont="1" applyFill="1"/>
    <xf numFmtId="0" fontId="77" fillId="7" borderId="0" xfId="0" applyNumberFormat="1" applyFont="1" applyFill="1"/>
    <xf numFmtId="0" fontId="78" fillId="7" borderId="0" xfId="0" applyNumberFormat="1" applyFont="1" applyFill="1"/>
    <xf numFmtId="0" fontId="27" fillId="48" borderId="24" xfId="0" applyNumberFormat="1" applyFont="1" applyFill="1" applyBorder="1" applyAlignment="1">
      <alignment horizontal="center"/>
    </xf>
    <xf numFmtId="0" fontId="27" fillId="49" borderId="24" xfId="0" applyNumberFormat="1" applyFont="1" applyFill="1" applyBorder="1" applyAlignment="1">
      <alignment horizontal="center"/>
    </xf>
    <xf numFmtId="0" fontId="27" fillId="12" borderId="24" xfId="0" applyNumberFormat="1" applyFont="1" applyFill="1" applyBorder="1" applyAlignment="1">
      <alignment horizontal="center"/>
    </xf>
    <xf numFmtId="0" fontId="27" fillId="26" borderId="24" xfId="0" applyNumberFormat="1" applyFont="1" applyFill="1" applyBorder="1" applyAlignment="1">
      <alignment horizontal="center"/>
    </xf>
    <xf numFmtId="0" fontId="27" fillId="24" borderId="24" xfId="0" applyNumberFormat="1" applyFont="1" applyFill="1" applyBorder="1" applyAlignment="1">
      <alignment horizontal="center"/>
    </xf>
    <xf numFmtId="0" fontId="61" fillId="26" borderId="24" xfId="0" applyNumberFormat="1" applyFont="1" applyFill="1" applyBorder="1" applyAlignment="1">
      <alignment horizontal="center"/>
    </xf>
    <xf numFmtId="0" fontId="75" fillId="7" borderId="0" xfId="0" applyNumberFormat="1" applyFont="1" applyFill="1" applyAlignment="1"/>
    <xf numFmtId="0" fontId="27" fillId="13" borderId="24" xfId="0" applyNumberFormat="1" applyFont="1" applyFill="1" applyBorder="1" applyAlignment="1">
      <alignment horizontal="center"/>
    </xf>
    <xf numFmtId="0" fontId="1" fillId="0" borderId="1" xfId="0" applyNumberFormat="1" applyFont="1" applyBorder="1"/>
    <xf numFmtId="0" fontId="1" fillId="0" borderId="2" xfId="0" applyNumberFormat="1" applyFont="1" applyBorder="1"/>
    <xf numFmtId="0" fontId="1" fillId="0" borderId="3" xfId="0" applyNumberFormat="1" applyFont="1" applyBorder="1"/>
    <xf numFmtId="0" fontId="1" fillId="0" borderId="4" xfId="0" applyNumberFormat="1" applyFont="1" applyBorder="1"/>
    <xf numFmtId="0" fontId="1" fillId="0" borderId="5" xfId="0" applyNumberFormat="1" applyFont="1" applyBorder="1"/>
    <xf numFmtId="0" fontId="1" fillId="0" borderId="6" xfId="0" applyNumberFormat="1" applyFont="1" applyBorder="1"/>
    <xf numFmtId="0" fontId="1" fillId="0" borderId="7" xfId="0" applyNumberFormat="1" applyFont="1" applyBorder="1"/>
    <xf numFmtId="0" fontId="5" fillId="7" borderId="1" xfId="0" applyNumberFormat="1" applyFont="1" applyFill="1" applyBorder="1"/>
    <xf numFmtId="0" fontId="5" fillId="7" borderId="2" xfId="0" applyNumberFormat="1" applyFont="1" applyFill="1" applyBorder="1"/>
    <xf numFmtId="0" fontId="5" fillId="7" borderId="3" xfId="0" applyNumberFormat="1" applyFont="1" applyFill="1" applyBorder="1"/>
    <xf numFmtId="0" fontId="5" fillId="7" borderId="4" xfId="0" applyNumberFormat="1" applyFont="1" applyFill="1" applyBorder="1"/>
    <xf numFmtId="0" fontId="5" fillId="7" borderId="0" xfId="0" applyNumberFormat="1" applyFont="1" applyFill="1" applyBorder="1"/>
    <xf numFmtId="0" fontId="5" fillId="7" borderId="5" xfId="0" applyNumberFormat="1" applyFont="1" applyFill="1" applyBorder="1"/>
    <xf numFmtId="0" fontId="5" fillId="7" borderId="6" xfId="0" applyNumberFormat="1" applyFont="1" applyFill="1" applyBorder="1"/>
    <xf numFmtId="0" fontId="5" fillId="7" borderId="7" xfId="0" applyNumberFormat="1" applyFont="1" applyFill="1" applyBorder="1"/>
    <xf numFmtId="0" fontId="5" fillId="7" borderId="8" xfId="0" applyNumberFormat="1" applyFont="1" applyFill="1" applyBorder="1"/>
    <xf numFmtId="164" fontId="1" fillId="0" borderId="0" xfId="0" applyNumberFormat="1" applyFont="1"/>
    <xf numFmtId="164" fontId="1" fillId="0" borderId="15" xfId="0" applyNumberFormat="1" applyFont="1" applyBorder="1"/>
    <xf numFmtId="164" fontId="1" fillId="0" borderId="5" xfId="0" applyNumberFormat="1" applyFont="1" applyBorder="1"/>
    <xf numFmtId="164" fontId="1" fillId="0" borderId="0" xfId="0" applyNumberFormat="1" applyFont="1" applyBorder="1"/>
    <xf numFmtId="164" fontId="1" fillId="0" borderId="31" xfId="0" applyNumberFormat="1" applyFont="1" applyBorder="1"/>
    <xf numFmtId="164" fontId="5" fillId="7" borderId="0" xfId="0" applyNumberFormat="1" applyFont="1" applyFill="1"/>
    <xf numFmtId="0" fontId="5" fillId="19" borderId="0" xfId="0" applyNumberFormat="1" applyFont="1" applyFill="1"/>
    <xf numFmtId="164" fontId="5" fillId="19" borderId="0" xfId="0" applyNumberFormat="1" applyFont="1" applyFill="1"/>
    <xf numFmtId="0" fontId="5" fillId="7" borderId="24" xfId="0" applyNumberFormat="1" applyFont="1" applyFill="1" applyBorder="1" applyAlignment="1">
      <alignment horizontal="center"/>
    </xf>
    <xf numFmtId="164" fontId="5" fillId="7" borderId="24" xfId="0" applyNumberFormat="1" applyFont="1" applyFill="1" applyBorder="1"/>
    <xf numFmtId="0" fontId="5" fillId="19" borderId="24" xfId="0" applyNumberFormat="1" applyFont="1" applyFill="1" applyBorder="1"/>
    <xf numFmtId="0" fontId="5" fillId="19" borderId="24" xfId="0" applyNumberFormat="1" applyFont="1" applyFill="1" applyBorder="1" applyAlignment="1">
      <alignment horizontal="center"/>
    </xf>
    <xf numFmtId="164" fontId="5" fillId="19" borderId="24" xfId="0" applyNumberFormat="1" applyFont="1" applyFill="1" applyBorder="1"/>
    <xf numFmtId="0" fontId="5" fillId="47" borderId="24" xfId="0" applyNumberFormat="1" applyFont="1" applyFill="1" applyBorder="1" applyAlignment="1">
      <alignment horizontal="center"/>
    </xf>
    <xf numFmtId="164" fontId="5" fillId="47" borderId="24" xfId="0" applyNumberFormat="1" applyFont="1" applyFill="1" applyBorder="1"/>
    <xf numFmtId="0" fontId="1" fillId="47" borderId="0" xfId="0" applyNumberFormat="1" applyFont="1" applyFill="1"/>
    <xf numFmtId="165" fontId="1" fillId="7" borderId="0" xfId="1" applyNumberFormat="1" applyFont="1" applyFill="1"/>
    <xf numFmtId="165" fontId="5" fillId="7" borderId="0" xfId="1" applyNumberFormat="1" applyFont="1" applyFill="1"/>
    <xf numFmtId="164" fontId="1" fillId="0" borderId="12" xfId="0" applyNumberFormat="1" applyFont="1" applyBorder="1"/>
    <xf numFmtId="0" fontId="1" fillId="0" borderId="27" xfId="0" applyNumberFormat="1" applyFont="1" applyBorder="1"/>
    <xf numFmtId="164" fontId="5" fillId="47" borderId="0" xfId="0" applyNumberFormat="1" applyFont="1" applyFill="1"/>
    <xf numFmtId="164" fontId="1" fillId="47" borderId="0" xfId="0" applyNumberFormat="1" applyFont="1" applyFill="1"/>
    <xf numFmtId="0" fontId="5" fillId="47" borderId="0" xfId="0" applyNumberFormat="1" applyFont="1" applyFill="1" applyAlignment="1">
      <alignment horizontal="center"/>
    </xf>
    <xf numFmtId="173" fontId="1" fillId="0" borderId="12" xfId="0" applyFont="1" applyBorder="1"/>
    <xf numFmtId="0" fontId="5" fillId="6" borderId="4" xfId="0" applyNumberFormat="1" applyFont="1" applyFill="1" applyBorder="1"/>
    <xf numFmtId="0" fontId="5" fillId="47" borderId="4" xfId="0" applyNumberFormat="1" applyFont="1" applyFill="1" applyBorder="1"/>
    <xf numFmtId="0" fontId="5" fillId="19" borderId="4" xfId="0" applyNumberFormat="1" applyFont="1" applyFill="1" applyBorder="1"/>
    <xf numFmtId="0" fontId="5" fillId="6" borderId="6" xfId="0" applyNumberFormat="1" applyFont="1" applyFill="1" applyBorder="1"/>
    <xf numFmtId="173" fontId="1" fillId="0" borderId="24" xfId="0" quotePrefix="1" applyFont="1" applyBorder="1"/>
    <xf numFmtId="173" fontId="1" fillId="0" borderId="11" xfId="0" quotePrefix="1" applyFont="1" applyBorder="1"/>
    <xf numFmtId="173" fontId="1" fillId="0" borderId="12" xfId="0" quotePrefix="1" applyFont="1" applyBorder="1"/>
    <xf numFmtId="173" fontId="5" fillId="7" borderId="13" xfId="0" applyFont="1" applyFill="1" applyBorder="1"/>
    <xf numFmtId="173" fontId="5" fillId="7" borderId="27" xfId="0" quotePrefix="1" applyFont="1" applyFill="1" applyBorder="1"/>
    <xf numFmtId="173" fontId="5" fillId="47" borderId="13" xfId="0" applyFont="1" applyFill="1" applyBorder="1"/>
    <xf numFmtId="173" fontId="5" fillId="47" borderId="13" xfId="0" quotePrefix="1" applyFont="1" applyFill="1" applyBorder="1"/>
    <xf numFmtId="173" fontId="5" fillId="47" borderId="1" xfId="0" applyFont="1" applyFill="1" applyBorder="1"/>
    <xf numFmtId="173" fontId="5" fillId="47" borderId="11" xfId="0" applyFont="1" applyFill="1" applyBorder="1"/>
    <xf numFmtId="173" fontId="5" fillId="47" borderId="24" xfId="0" applyNumberFormat="1" applyFont="1" applyFill="1" applyBorder="1"/>
    <xf numFmtId="0" fontId="1" fillId="0" borderId="9" xfId="0" applyNumberFormat="1" applyFont="1" applyBorder="1" applyAlignment="1">
      <alignment horizontal="center"/>
    </xf>
    <xf numFmtId="0" fontId="1" fillId="0" borderId="10" xfId="0" applyNumberFormat="1" applyFont="1" applyBorder="1" applyAlignment="1">
      <alignment horizontal="center"/>
    </xf>
    <xf numFmtId="0" fontId="1" fillId="0" borderId="11" xfId="0" applyNumberFormat="1" applyFont="1" applyBorder="1" applyAlignment="1">
      <alignment horizontal="center"/>
    </xf>
    <xf numFmtId="0" fontId="6" fillId="0" borderId="10" xfId="0" applyNumberFormat="1" applyFont="1" applyFill="1" applyBorder="1" applyAlignment="1">
      <alignment horizontal="center"/>
    </xf>
    <xf numFmtId="9" fontId="5" fillId="7" borderId="24" xfId="2" applyFont="1" applyFill="1" applyBorder="1" applyAlignment="1">
      <alignment horizontal="left"/>
    </xf>
    <xf numFmtId="9" fontId="5" fillId="7" borderId="12" xfId="2" applyFont="1" applyFill="1" applyBorder="1" applyAlignment="1">
      <alignment horizontal="center"/>
    </xf>
    <xf numFmtId="9" fontId="66" fillId="6" borderId="0" xfId="2" applyFont="1" applyFill="1" applyBorder="1"/>
    <xf numFmtId="9" fontId="66" fillId="46" borderId="0" xfId="2" applyFont="1" applyFill="1" applyBorder="1"/>
    <xf numFmtId="9" fontId="5" fillId="0" borderId="0" xfId="2" applyFont="1" applyFill="1" applyBorder="1"/>
    <xf numFmtId="9" fontId="66" fillId="0" borderId="0" xfId="2" applyFont="1" applyFill="1" applyBorder="1"/>
    <xf numFmtId="9" fontId="67" fillId="24" borderId="14" xfId="2" applyFont="1" applyFill="1" applyBorder="1"/>
    <xf numFmtId="167" fontId="66" fillId="46" borderId="0" xfId="2" applyNumberFormat="1" applyFont="1" applyFill="1" applyBorder="1"/>
    <xf numFmtId="0" fontId="1" fillId="5" borderId="0" xfId="0" applyNumberFormat="1" applyFont="1" applyFill="1"/>
    <xf numFmtId="0" fontId="1" fillId="0" borderId="0" xfId="0" applyNumberFormat="1" applyFont="1" applyAlignment="1"/>
    <xf numFmtId="0" fontId="1" fillId="30" borderId="0" xfId="0" applyNumberFormat="1" applyFont="1" applyFill="1" applyAlignment="1">
      <alignment horizontal="center"/>
    </xf>
    <xf numFmtId="0" fontId="1" fillId="3" borderId="0" xfId="0" applyNumberFormat="1" applyFont="1" applyFill="1"/>
    <xf numFmtId="0" fontId="1" fillId="30" borderId="0" xfId="0" applyNumberFormat="1" applyFont="1" applyFill="1"/>
    <xf numFmtId="0" fontId="5" fillId="25" borderId="24" xfId="0" applyNumberFormat="1" applyFont="1" applyFill="1" applyBorder="1"/>
    <xf numFmtId="0" fontId="28" fillId="0" borderId="0" xfId="0" applyNumberFormat="1" applyFont="1" applyFill="1"/>
    <xf numFmtId="0" fontId="5" fillId="6" borderId="0" xfId="0" applyNumberFormat="1" applyFont="1" applyFill="1" applyAlignment="1"/>
    <xf numFmtId="0" fontId="5" fillId="25" borderId="24" xfId="0" applyNumberFormat="1" applyFont="1" applyFill="1" applyBorder="1" applyAlignment="1">
      <alignment horizontal="center"/>
    </xf>
    <xf numFmtId="0" fontId="1" fillId="5" borderId="0" xfId="0" applyNumberFormat="1" applyFont="1" applyFill="1" applyAlignment="1">
      <alignment horizontal="center"/>
    </xf>
    <xf numFmtId="0" fontId="1" fillId="3" borderId="0" xfId="0" applyNumberFormat="1" applyFont="1" applyFill="1" applyAlignment="1">
      <alignment horizontal="center"/>
    </xf>
    <xf numFmtId="0" fontId="1" fillId="0" borderId="0" xfId="0" applyNumberFormat="1" applyFont="1" applyFill="1" applyAlignment="1">
      <alignment horizontal="center"/>
    </xf>
    <xf numFmtId="0" fontId="1" fillId="5" borderId="0" xfId="0" applyNumberFormat="1" applyFont="1" applyFill="1" applyBorder="1"/>
    <xf numFmtId="0" fontId="5" fillId="7" borderId="2" xfId="0" applyNumberFormat="1" applyFont="1" applyFill="1" applyBorder="1" applyAlignment="1"/>
    <xf numFmtId="0" fontId="5" fillId="7" borderId="2" xfId="0" applyNumberFormat="1" applyFont="1" applyFill="1" applyBorder="1" applyAlignment="1">
      <alignment horizontal="center"/>
    </xf>
    <xf numFmtId="0" fontId="5" fillId="7" borderId="3" xfId="0" applyNumberFormat="1" applyFont="1" applyFill="1" applyBorder="1" applyAlignment="1">
      <alignment horizontal="center"/>
    </xf>
    <xf numFmtId="0" fontId="32" fillId="7" borderId="0" xfId="0" applyNumberFormat="1" applyFont="1" applyFill="1" applyBorder="1" applyAlignment="1"/>
    <xf numFmtId="0" fontId="32" fillId="7" borderId="0" xfId="0" applyNumberFormat="1" applyFont="1" applyFill="1" applyBorder="1" applyAlignment="1">
      <alignment horizontal="center"/>
    </xf>
    <xf numFmtId="0" fontId="5" fillId="7" borderId="5" xfId="0" applyNumberFormat="1" applyFont="1" applyFill="1" applyBorder="1" applyAlignment="1">
      <alignment horizontal="center"/>
    </xf>
    <xf numFmtId="0" fontId="31" fillId="0" borderId="0" xfId="0" applyNumberFormat="1" applyFont="1" applyAlignment="1">
      <alignment vertical="center"/>
    </xf>
    <xf numFmtId="0" fontId="1" fillId="0" borderId="0" xfId="0" applyNumberFormat="1" applyFont="1" applyBorder="1" applyAlignment="1"/>
    <xf numFmtId="0" fontId="11" fillId="0" borderId="0" xfId="0" applyNumberFormat="1" applyFont="1" applyAlignment="1"/>
    <xf numFmtId="0" fontId="1" fillId="30" borderId="14" xfId="0" applyNumberFormat="1" applyFont="1" applyFill="1" applyBorder="1" applyAlignment="1">
      <alignment horizontal="center"/>
    </xf>
    <xf numFmtId="0" fontId="1" fillId="3" borderId="14" xfId="0" applyNumberFormat="1" applyFont="1" applyFill="1" applyBorder="1" applyAlignment="1">
      <alignment horizontal="center"/>
    </xf>
    <xf numFmtId="0" fontId="1" fillId="0" borderId="14" xfId="1" applyNumberFormat="1" applyFont="1" applyBorder="1" applyAlignment="1">
      <alignment horizontal="center"/>
    </xf>
    <xf numFmtId="0" fontId="5" fillId="25" borderId="24" xfId="1" applyNumberFormat="1" applyFont="1" applyFill="1" applyBorder="1" applyAlignment="1">
      <alignment horizontal="center"/>
    </xf>
    <xf numFmtId="0" fontId="1" fillId="30" borderId="14" xfId="1" applyNumberFormat="1" applyFont="1" applyFill="1" applyBorder="1" applyAlignment="1">
      <alignment horizontal="center"/>
    </xf>
    <xf numFmtId="0" fontId="1" fillId="0" borderId="14" xfId="1" applyNumberFormat="1" applyFont="1" applyBorder="1"/>
    <xf numFmtId="0" fontId="6" fillId="0" borderId="15" xfId="1" applyNumberFormat="1" applyFont="1" applyBorder="1"/>
    <xf numFmtId="173" fontId="1" fillId="0" borderId="24" xfId="0" applyFont="1" applyBorder="1"/>
    <xf numFmtId="173" fontId="5" fillId="38" borderId="24" xfId="0" applyNumberFormat="1" applyFont="1" applyFill="1" applyBorder="1"/>
    <xf numFmtId="173" fontId="35" fillId="0" borderId="0" xfId="0" applyFont="1" applyFill="1"/>
    <xf numFmtId="0" fontId="35" fillId="0" borderId="0" xfId="0" applyNumberFormat="1" applyFont="1" applyFill="1" applyAlignment="1">
      <alignment horizontal="left"/>
    </xf>
    <xf numFmtId="9" fontId="35" fillId="0" borderId="0" xfId="2" applyFont="1" applyFill="1"/>
    <xf numFmtId="9" fontId="1" fillId="0" borderId="0" xfId="0" applyNumberFormat="1" applyFont="1" applyAlignment="1">
      <alignment horizontal="left"/>
    </xf>
    <xf numFmtId="174" fontId="1" fillId="15" borderId="0" xfId="2" applyNumberFormat="1" applyFont="1" applyFill="1" applyBorder="1"/>
    <xf numFmtId="174" fontId="1" fillId="24" borderId="0" xfId="2" applyNumberFormat="1" applyFont="1" applyFill="1" applyBorder="1"/>
    <xf numFmtId="174" fontId="1" fillId="13" borderId="0" xfId="2" applyNumberFormat="1" applyFont="1" applyFill="1" applyBorder="1"/>
    <xf numFmtId="0" fontId="6" fillId="0" borderId="0" xfId="0" applyNumberFormat="1" applyFont="1" applyFill="1" applyAlignment="1">
      <alignment horizontal="left"/>
    </xf>
    <xf numFmtId="164" fontId="6" fillId="41" borderId="24" xfId="2" applyNumberFormat="1" applyFont="1" applyFill="1" applyBorder="1"/>
    <xf numFmtId="173" fontId="5" fillId="47" borderId="2" xfId="0" applyFont="1" applyFill="1" applyBorder="1" applyAlignment="1">
      <alignment horizontal="center"/>
    </xf>
    <xf numFmtId="173" fontId="5" fillId="47" borderId="7" xfId="0" quotePrefix="1" applyFont="1" applyFill="1" applyBorder="1" applyAlignment="1">
      <alignment horizontal="center"/>
    </xf>
    <xf numFmtId="173" fontId="5" fillId="47" borderId="8" xfId="0" applyFont="1" applyFill="1" applyBorder="1"/>
    <xf numFmtId="173" fontId="5" fillId="47" borderId="6" xfId="0" applyFont="1" applyFill="1" applyBorder="1"/>
    <xf numFmtId="173" fontId="5" fillId="50" borderId="2" xfId="0" applyFont="1" applyFill="1" applyBorder="1" applyAlignment="1">
      <alignment horizontal="center"/>
    </xf>
    <xf numFmtId="173" fontId="5" fillId="50" borderId="3" xfId="0" applyFont="1" applyFill="1" applyBorder="1"/>
    <xf numFmtId="173" fontId="5" fillId="50" borderId="1" xfId="0" applyFont="1" applyFill="1" applyBorder="1"/>
    <xf numFmtId="173" fontId="5" fillId="50" borderId="7" xfId="0" quotePrefix="1" applyFont="1" applyFill="1" applyBorder="1" applyAlignment="1">
      <alignment horizontal="center"/>
    </xf>
    <xf numFmtId="173" fontId="5" fillId="50" borderId="8" xfId="0" applyFont="1" applyFill="1" applyBorder="1"/>
    <xf numFmtId="173" fontId="5" fillId="50" borderId="6" xfId="0" applyFont="1" applyFill="1" applyBorder="1"/>
    <xf numFmtId="173" fontId="81" fillId="7" borderId="0" xfId="0" applyFont="1" applyFill="1"/>
    <xf numFmtId="173" fontId="82" fillId="7" borderId="0" xfId="0" applyFont="1" applyFill="1"/>
    <xf numFmtId="0" fontId="82" fillId="7" borderId="0" xfId="0" applyNumberFormat="1" applyFont="1" applyFill="1"/>
    <xf numFmtId="164" fontId="82" fillId="7" borderId="0" xfId="0" applyNumberFormat="1" applyFont="1" applyFill="1"/>
    <xf numFmtId="164" fontId="1" fillId="0" borderId="3" xfId="0" applyNumberFormat="1" applyFont="1" applyBorder="1"/>
    <xf numFmtId="0" fontId="1" fillId="0" borderId="12" xfId="0" applyNumberFormat="1" applyFont="1" applyBorder="1"/>
    <xf numFmtId="164" fontId="1" fillId="0" borderId="27" xfId="0" applyNumberFormat="1" applyFont="1" applyBorder="1"/>
    <xf numFmtId="0" fontId="5" fillId="6" borderId="28" xfId="0" applyNumberFormat="1" applyFont="1" applyFill="1" applyBorder="1"/>
    <xf numFmtId="164" fontId="5" fillId="6" borderId="32" xfId="0" applyNumberFormat="1" applyFont="1" applyFill="1" applyBorder="1"/>
    <xf numFmtId="173" fontId="5" fillId="6" borderId="1" xfId="0" applyFont="1" applyFill="1" applyBorder="1"/>
    <xf numFmtId="173" fontId="5" fillId="6" borderId="3" xfId="0" applyFont="1" applyFill="1" applyBorder="1"/>
    <xf numFmtId="164" fontId="1" fillId="0" borderId="8" xfId="0" applyNumberFormat="1" applyFont="1" applyBorder="1"/>
    <xf numFmtId="173" fontId="5" fillId="47" borderId="12" xfId="0" applyFont="1" applyFill="1" applyBorder="1"/>
    <xf numFmtId="173" fontId="5" fillId="47" borderId="27" xfId="0" applyFont="1" applyFill="1" applyBorder="1"/>
    <xf numFmtId="173" fontId="81" fillId="47" borderId="0" xfId="0" applyFont="1" applyFill="1"/>
    <xf numFmtId="173" fontId="82" fillId="47" borderId="0" xfId="0" applyFont="1" applyFill="1"/>
    <xf numFmtId="0" fontId="82" fillId="47" borderId="0" xfId="0" applyNumberFormat="1" applyFont="1" applyFill="1"/>
    <xf numFmtId="164" fontId="82" fillId="47" borderId="0" xfId="0" applyNumberFormat="1" applyFont="1" applyFill="1"/>
    <xf numFmtId="164" fontId="5" fillId="47" borderId="32" xfId="0" applyNumberFormat="1" applyFont="1" applyFill="1" applyBorder="1"/>
    <xf numFmtId="0" fontId="5" fillId="47" borderId="28" xfId="0" applyNumberFormat="1" applyFont="1" applyFill="1" applyBorder="1" applyAlignment="1">
      <alignment horizontal="right"/>
    </xf>
    <xf numFmtId="0" fontId="5" fillId="7" borderId="28" xfId="0" applyNumberFormat="1" applyFont="1" applyFill="1" applyBorder="1" applyAlignment="1">
      <alignment horizontal="right"/>
    </xf>
    <xf numFmtId="164" fontId="5" fillId="7" borderId="32" xfId="0" applyNumberFormat="1" applyFont="1" applyFill="1" applyBorder="1"/>
    <xf numFmtId="0" fontId="5" fillId="7" borderId="12" xfId="0" applyNumberFormat="1" applyFont="1" applyFill="1" applyBorder="1" applyAlignment="1">
      <alignment horizontal="right"/>
    </xf>
    <xf numFmtId="0" fontId="5" fillId="47" borderId="6" xfId="0" applyNumberFormat="1" applyFont="1" applyFill="1" applyBorder="1" applyAlignment="1">
      <alignment horizontal="right"/>
    </xf>
    <xf numFmtId="0" fontId="5" fillId="47" borderId="8" xfId="0" applyNumberFormat="1" applyFont="1" applyFill="1" applyBorder="1"/>
    <xf numFmtId="173" fontId="6" fillId="33" borderId="24" xfId="0" applyFont="1" applyFill="1" applyBorder="1" applyAlignment="1">
      <alignment horizontal="center"/>
    </xf>
    <xf numFmtId="173" fontId="6" fillId="33" borderId="33" xfId="0" applyNumberFormat="1" applyFont="1" applyFill="1" applyBorder="1"/>
    <xf numFmtId="173" fontId="1" fillId="33" borderId="24" xfId="0" applyFont="1" applyFill="1" applyBorder="1"/>
    <xf numFmtId="173" fontId="1" fillId="0" borderId="2" xfId="0" quotePrefix="1" applyFont="1" applyBorder="1"/>
    <xf numFmtId="173" fontId="6" fillId="33" borderId="34" xfId="0" applyNumberFormat="1" applyFont="1" applyFill="1" applyBorder="1"/>
    <xf numFmtId="0" fontId="56" fillId="7" borderId="4" xfId="0" applyNumberFormat="1" applyFont="1" applyFill="1" applyBorder="1" applyAlignment="1">
      <alignment horizontal="center"/>
    </xf>
    <xf numFmtId="173" fontId="6" fillId="0" borderId="0" xfId="0" applyFont="1" applyBorder="1"/>
    <xf numFmtId="173" fontId="6" fillId="0" borderId="5" xfId="0" applyFont="1" applyFill="1" applyBorder="1"/>
    <xf numFmtId="173" fontId="6" fillId="0" borderId="0" xfId="0" applyFont="1" applyFill="1" applyBorder="1" applyAlignment="1">
      <alignment horizontal="center"/>
    </xf>
    <xf numFmtId="0" fontId="48" fillId="0" borderId="0" xfId="0" applyNumberFormat="1" applyFont="1" applyFill="1" applyBorder="1"/>
    <xf numFmtId="173" fontId="48" fillId="0" borderId="0" xfId="0" applyNumberFormat="1" applyFont="1" applyFill="1" applyBorder="1"/>
    <xf numFmtId="175" fontId="5" fillId="7" borderId="0" xfId="0" applyNumberFormat="1" applyFont="1" applyFill="1"/>
    <xf numFmtId="166" fontId="6" fillId="0" borderId="0" xfId="2" applyNumberFormat="1" applyFont="1" applyFill="1"/>
    <xf numFmtId="0" fontId="0" fillId="0" borderId="0" xfId="2" applyNumberFormat="1" applyFont="1"/>
    <xf numFmtId="173" fontId="83" fillId="26" borderId="0" xfId="0" applyFont="1" applyFill="1"/>
    <xf numFmtId="167" fontId="5" fillId="9" borderId="13" xfId="2" applyNumberFormat="1" applyFont="1" applyFill="1" applyBorder="1"/>
    <xf numFmtId="167" fontId="5" fillId="9" borderId="26" xfId="0" applyNumberFormat="1" applyFont="1" applyFill="1" applyBorder="1"/>
    <xf numFmtId="173" fontId="84" fillId="0" borderId="0" xfId="0" applyFont="1"/>
    <xf numFmtId="173" fontId="84" fillId="0" borderId="1" xfId="0" applyFont="1" applyBorder="1"/>
    <xf numFmtId="173" fontId="84" fillId="0" borderId="2" xfId="0" applyFont="1" applyBorder="1"/>
    <xf numFmtId="173" fontId="84" fillId="0" borderId="3" xfId="0" applyFont="1" applyBorder="1"/>
    <xf numFmtId="173" fontId="84" fillId="0" borderId="0" xfId="0" applyFont="1" applyAlignment="1">
      <alignment horizontal="center"/>
    </xf>
    <xf numFmtId="173" fontId="84" fillId="0" borderId="0" xfId="0" applyFont="1" applyFill="1" applyBorder="1"/>
    <xf numFmtId="176" fontId="85" fillId="51" borderId="24" xfId="0" applyNumberFormat="1" applyFont="1" applyFill="1" applyBorder="1"/>
    <xf numFmtId="173" fontId="84" fillId="0" borderId="16" xfId="0" applyFont="1" applyBorder="1"/>
    <xf numFmtId="173" fontId="84" fillId="0" borderId="17" xfId="0" applyFont="1" applyBorder="1"/>
    <xf numFmtId="173" fontId="84" fillId="0" borderId="18" xfId="0" applyFont="1" applyBorder="1"/>
    <xf numFmtId="173" fontId="84" fillId="0" borderId="4" xfId="0" applyFont="1" applyBorder="1"/>
    <xf numFmtId="173" fontId="86" fillId="51" borderId="24" xfId="0" applyFont="1" applyFill="1" applyBorder="1"/>
    <xf numFmtId="173" fontId="84" fillId="0" borderId="0" xfId="0" applyFont="1" applyBorder="1"/>
    <xf numFmtId="173" fontId="84" fillId="0" borderId="5" xfId="0" applyFont="1" applyBorder="1"/>
    <xf numFmtId="173" fontId="85" fillId="48" borderId="24" xfId="0" applyFont="1" applyFill="1" applyBorder="1" applyAlignment="1">
      <alignment horizontal="center"/>
    </xf>
    <xf numFmtId="173" fontId="85" fillId="51" borderId="24" xfId="0" applyFont="1" applyFill="1" applyBorder="1" applyAlignment="1">
      <alignment horizontal="center"/>
    </xf>
    <xf numFmtId="176" fontId="84" fillId="51" borderId="24" xfId="0" applyNumberFormat="1" applyFont="1" applyFill="1" applyBorder="1"/>
    <xf numFmtId="173" fontId="85" fillId="51" borderId="3" xfId="0" applyFont="1" applyFill="1" applyBorder="1" applyAlignment="1">
      <alignment horizontal="center"/>
    </xf>
    <xf numFmtId="9" fontId="85" fillId="0" borderId="0" xfId="2" applyFont="1" applyFill="1" applyBorder="1"/>
    <xf numFmtId="173" fontId="84" fillId="51" borderId="24" xfId="0" applyFont="1" applyFill="1" applyBorder="1"/>
    <xf numFmtId="173" fontId="84" fillId="0" borderId="19" xfId="0" applyFont="1" applyBorder="1"/>
    <xf numFmtId="173" fontId="84" fillId="48" borderId="9" xfId="0" applyFont="1" applyFill="1" applyBorder="1"/>
    <xf numFmtId="173" fontId="86" fillId="48" borderId="24" xfId="0" applyFont="1" applyFill="1" applyBorder="1" applyAlignment="1">
      <alignment horizontal="center"/>
    </xf>
    <xf numFmtId="173" fontId="85" fillId="51" borderId="24" xfId="0" applyFont="1" applyFill="1" applyBorder="1"/>
    <xf numFmtId="173" fontId="84" fillId="0" borderId="20" xfId="0" applyFont="1" applyBorder="1"/>
    <xf numFmtId="0" fontId="85" fillId="51" borderId="24" xfId="0" applyNumberFormat="1" applyFont="1" applyFill="1" applyBorder="1" applyAlignment="1">
      <alignment horizontal="center"/>
    </xf>
    <xf numFmtId="173" fontId="84" fillId="12" borderId="24" xfId="0" applyFont="1" applyFill="1" applyBorder="1"/>
    <xf numFmtId="176" fontId="84" fillId="12" borderId="24" xfId="0" applyNumberFormat="1" applyFont="1" applyFill="1" applyBorder="1"/>
    <xf numFmtId="173" fontId="85" fillId="48" borderId="12" xfId="0" applyFont="1" applyFill="1" applyBorder="1" applyAlignment="1">
      <alignment horizontal="center"/>
    </xf>
    <xf numFmtId="176" fontId="87" fillId="12" borderId="9" xfId="0" applyNumberFormat="1" applyFont="1" applyFill="1" applyBorder="1" applyAlignment="1">
      <alignment horizontal="center"/>
    </xf>
    <xf numFmtId="173" fontId="84" fillId="12" borderId="12" xfId="0" applyFont="1" applyFill="1" applyBorder="1"/>
    <xf numFmtId="173" fontId="84" fillId="0" borderId="24" xfId="0" applyFont="1" applyBorder="1"/>
    <xf numFmtId="176" fontId="85" fillId="51" borderId="24" xfId="0" applyNumberFormat="1" applyFont="1" applyFill="1" applyBorder="1" applyAlignment="1">
      <alignment horizontal="center"/>
    </xf>
    <xf numFmtId="173" fontId="84" fillId="48" borderId="10" xfId="0" applyFont="1" applyFill="1" applyBorder="1"/>
    <xf numFmtId="173" fontId="85" fillId="12" borderId="24" xfId="0" applyFont="1" applyFill="1" applyBorder="1"/>
    <xf numFmtId="177" fontId="88" fillId="36" borderId="9" xfId="0" applyNumberFormat="1" applyFont="1" applyFill="1" applyBorder="1" applyAlignment="1">
      <alignment horizontal="center"/>
    </xf>
    <xf numFmtId="173" fontId="88" fillId="36" borderId="9" xfId="0" applyFont="1" applyFill="1" applyBorder="1" applyAlignment="1">
      <alignment horizontal="center"/>
    </xf>
    <xf numFmtId="173" fontId="85" fillId="48" borderId="24" xfId="0" applyFont="1" applyFill="1" applyBorder="1"/>
    <xf numFmtId="176" fontId="88" fillId="12" borderId="24" xfId="0" applyNumberFormat="1" applyFont="1" applyFill="1" applyBorder="1"/>
    <xf numFmtId="176" fontId="89" fillId="12" borderId="24" xfId="0" applyNumberFormat="1" applyFont="1" applyFill="1" applyBorder="1"/>
    <xf numFmtId="173" fontId="88" fillId="12" borderId="10" xfId="0" applyFont="1" applyFill="1" applyBorder="1" applyAlignment="1">
      <alignment horizontal="center"/>
    </xf>
    <xf numFmtId="176" fontId="86" fillId="51" borderId="24" xfId="0" applyNumberFormat="1" applyFont="1" applyFill="1" applyBorder="1"/>
    <xf numFmtId="176" fontId="85" fillId="51" borderId="12" xfId="0" applyNumberFormat="1" applyFont="1" applyFill="1" applyBorder="1"/>
    <xf numFmtId="176" fontId="88" fillId="13" borderId="24" xfId="0" applyNumberFormat="1" applyFont="1" applyFill="1" applyBorder="1" applyAlignment="1">
      <alignment horizontal="center"/>
    </xf>
    <xf numFmtId="173" fontId="85" fillId="12" borderId="12" xfId="0" applyFont="1" applyFill="1" applyBorder="1"/>
    <xf numFmtId="177" fontId="85" fillId="51" borderId="9" xfId="0" applyNumberFormat="1" applyFont="1" applyFill="1" applyBorder="1" applyAlignment="1">
      <alignment horizontal="center"/>
    </xf>
    <xf numFmtId="173" fontId="85" fillId="51" borderId="9" xfId="0" applyFont="1" applyFill="1" applyBorder="1" applyAlignment="1">
      <alignment horizontal="center"/>
    </xf>
    <xf numFmtId="9" fontId="85" fillId="51" borderId="9" xfId="0" applyNumberFormat="1" applyFont="1" applyFill="1" applyBorder="1" applyAlignment="1">
      <alignment horizontal="center"/>
    </xf>
    <xf numFmtId="173" fontId="88" fillId="13" borderId="24" xfId="0" applyFont="1" applyFill="1" applyBorder="1"/>
    <xf numFmtId="166" fontId="87" fillId="13" borderId="24" xfId="0" applyNumberFormat="1" applyFont="1" applyFill="1" applyBorder="1"/>
    <xf numFmtId="173" fontId="85" fillId="51" borderId="10" xfId="0" applyFont="1" applyFill="1" applyBorder="1" applyAlignment="1">
      <alignment horizontal="center"/>
    </xf>
    <xf numFmtId="9" fontId="84" fillId="12" borderId="24" xfId="2" applyFont="1" applyFill="1" applyBorder="1"/>
    <xf numFmtId="9" fontId="84" fillId="12" borderId="12" xfId="2" applyFont="1" applyFill="1" applyBorder="1"/>
    <xf numFmtId="173" fontId="88" fillId="13" borderId="24" xfId="0" applyFont="1" applyFill="1" applyBorder="1" applyAlignment="1">
      <alignment horizontal="center"/>
    </xf>
    <xf numFmtId="9" fontId="88" fillId="13" borderId="24" xfId="2" applyFont="1" applyFill="1" applyBorder="1" applyAlignment="1">
      <alignment horizontal="center"/>
    </xf>
    <xf numFmtId="173" fontId="84" fillId="48" borderId="11" xfId="0" applyFont="1" applyFill="1" applyBorder="1"/>
    <xf numFmtId="176" fontId="86" fillId="48" borderId="24" xfId="0" applyNumberFormat="1" applyFont="1" applyFill="1" applyBorder="1" applyAlignment="1">
      <alignment horizontal="center"/>
    </xf>
    <xf numFmtId="177" fontId="85" fillId="51" borderId="11" xfId="0" applyNumberFormat="1" applyFont="1" applyFill="1" applyBorder="1" applyAlignment="1">
      <alignment horizontal="center"/>
    </xf>
    <xf numFmtId="173" fontId="85" fillId="51" borderId="11" xfId="0" applyFont="1" applyFill="1" applyBorder="1" applyAlignment="1">
      <alignment horizontal="center"/>
    </xf>
    <xf numFmtId="9" fontId="85" fillId="51" borderId="11" xfId="0" applyNumberFormat="1" applyFont="1" applyFill="1" applyBorder="1" applyAlignment="1">
      <alignment horizontal="center"/>
    </xf>
    <xf numFmtId="176" fontId="87" fillId="13" borderId="24" xfId="2" applyNumberFormat="1" applyFont="1" applyFill="1" applyBorder="1"/>
    <xf numFmtId="176" fontId="89" fillId="13" borderId="24" xfId="0" applyNumberFormat="1" applyFont="1" applyFill="1" applyBorder="1"/>
    <xf numFmtId="166" fontId="87" fillId="12" borderId="10" xfId="2" applyNumberFormat="1" applyFont="1" applyFill="1" applyBorder="1" applyAlignment="1">
      <alignment horizontal="center"/>
    </xf>
    <xf numFmtId="176" fontId="85" fillId="0" borderId="0" xfId="0" applyNumberFormat="1" applyFont="1" applyFill="1" applyBorder="1"/>
    <xf numFmtId="10" fontId="85" fillId="51" borderId="24" xfId="2" applyNumberFormat="1" applyFont="1" applyFill="1" applyBorder="1" applyAlignment="1">
      <alignment horizontal="center"/>
    </xf>
    <xf numFmtId="173" fontId="84" fillId="13" borderId="24" xfId="0" applyFont="1" applyFill="1" applyBorder="1"/>
    <xf numFmtId="176" fontId="84" fillId="13" borderId="11" xfId="0" applyNumberFormat="1" applyFont="1" applyFill="1" applyBorder="1"/>
    <xf numFmtId="176" fontId="88" fillId="52" borderId="11" xfId="0" applyNumberFormat="1" applyFont="1" applyFill="1" applyBorder="1"/>
    <xf numFmtId="9" fontId="88" fillId="12" borderId="24" xfId="2" applyFont="1" applyFill="1" applyBorder="1"/>
    <xf numFmtId="10" fontId="85" fillId="51" borderId="24" xfId="0" applyNumberFormat="1" applyFont="1" applyFill="1" applyBorder="1" applyAlignment="1">
      <alignment horizontal="center"/>
    </xf>
    <xf numFmtId="176" fontId="84" fillId="13" borderId="24" xfId="0" applyNumberFormat="1" applyFont="1" applyFill="1" applyBorder="1"/>
    <xf numFmtId="176" fontId="88" fillId="52" borderId="24" xfId="0" applyNumberFormat="1" applyFont="1" applyFill="1" applyBorder="1"/>
    <xf numFmtId="176" fontId="84" fillId="52" borderId="24" xfId="0" applyNumberFormat="1" applyFont="1" applyFill="1" applyBorder="1"/>
    <xf numFmtId="9" fontId="86" fillId="51" borderId="24" xfId="2" applyFont="1" applyFill="1" applyBorder="1"/>
    <xf numFmtId="9" fontId="84" fillId="30" borderId="24" xfId="2" applyFont="1" applyFill="1" applyBorder="1"/>
    <xf numFmtId="10" fontId="88" fillId="13" borderId="24" xfId="0" applyNumberFormat="1" applyFont="1" applyFill="1" applyBorder="1" applyAlignment="1">
      <alignment horizontal="center"/>
    </xf>
    <xf numFmtId="173" fontId="85" fillId="36" borderId="24" xfId="0" applyFont="1" applyFill="1" applyBorder="1"/>
    <xf numFmtId="176" fontId="85" fillId="48" borderId="24" xfId="0" applyNumberFormat="1" applyFont="1" applyFill="1" applyBorder="1"/>
    <xf numFmtId="176" fontId="87" fillId="13" borderId="24" xfId="0" applyNumberFormat="1" applyFont="1" applyFill="1" applyBorder="1"/>
    <xf numFmtId="9" fontId="87" fillId="12" borderId="10" xfId="0" applyNumberFormat="1" applyFont="1" applyFill="1" applyBorder="1" applyAlignment="1">
      <alignment horizontal="center"/>
    </xf>
    <xf numFmtId="9" fontId="85" fillId="0" borderId="0" xfId="0" applyNumberFormat="1" applyFont="1" applyFill="1" applyBorder="1"/>
    <xf numFmtId="173" fontId="84" fillId="0" borderId="6" xfId="0" applyFont="1" applyBorder="1"/>
    <xf numFmtId="173" fontId="84" fillId="0" borderId="7" xfId="0" applyFont="1" applyBorder="1"/>
    <xf numFmtId="173" fontId="84" fillId="0" borderId="8" xfId="0" applyFont="1" applyBorder="1"/>
    <xf numFmtId="166" fontId="84" fillId="13" borderId="24" xfId="0" applyNumberFormat="1" applyFont="1" applyFill="1" applyBorder="1"/>
    <xf numFmtId="176" fontId="88" fillId="48" borderId="24" xfId="0" applyNumberFormat="1" applyFont="1" applyFill="1" applyBorder="1"/>
    <xf numFmtId="9" fontId="84" fillId="48" borderId="24" xfId="2" applyFont="1" applyFill="1" applyBorder="1"/>
    <xf numFmtId="166" fontId="87" fillId="13" borderId="24" xfId="2" applyNumberFormat="1" applyFont="1" applyFill="1" applyBorder="1"/>
    <xf numFmtId="176" fontId="88" fillId="53" borderId="24" xfId="0" applyNumberFormat="1" applyFont="1" applyFill="1" applyBorder="1"/>
    <xf numFmtId="9" fontId="89" fillId="13" borderId="24" xfId="2" applyFont="1" applyFill="1" applyBorder="1"/>
    <xf numFmtId="9" fontId="85" fillId="51" borderId="24" xfId="2" applyFont="1" applyFill="1" applyBorder="1"/>
    <xf numFmtId="176" fontId="88" fillId="51" borderId="24" xfId="0" applyNumberFormat="1" applyFont="1" applyFill="1" applyBorder="1"/>
    <xf numFmtId="9" fontId="84" fillId="0" borderId="0" xfId="0" applyNumberFormat="1" applyFont="1" applyFill="1" applyBorder="1"/>
    <xf numFmtId="176" fontId="84" fillId="0" borderId="0" xfId="0" applyNumberFormat="1" applyFont="1"/>
    <xf numFmtId="166" fontId="87" fillId="12" borderId="10" xfId="0" applyNumberFormat="1" applyFont="1" applyFill="1" applyBorder="1" applyAlignment="1">
      <alignment horizontal="center"/>
    </xf>
    <xf numFmtId="177" fontId="84" fillId="0" borderId="0" xfId="0" applyNumberFormat="1" applyFont="1"/>
    <xf numFmtId="176" fontId="88" fillId="13" borderId="24" xfId="0" applyNumberFormat="1" applyFont="1" applyFill="1" applyBorder="1"/>
    <xf numFmtId="176" fontId="84" fillId="53" borderId="24" xfId="0" applyNumberFormat="1" applyFont="1" applyFill="1" applyBorder="1"/>
    <xf numFmtId="178" fontId="84" fillId="0" borderId="0" xfId="0" applyNumberFormat="1" applyFont="1"/>
    <xf numFmtId="173" fontId="85" fillId="48" borderId="9" xfId="0" applyFont="1" applyFill="1" applyBorder="1" applyAlignment="1">
      <alignment horizontal="center"/>
    </xf>
    <xf numFmtId="173" fontId="88" fillId="13" borderId="9" xfId="0" applyFont="1" applyFill="1" applyBorder="1"/>
    <xf numFmtId="166" fontId="87" fillId="13" borderId="9" xfId="2" applyNumberFormat="1" applyFont="1" applyFill="1" applyBorder="1"/>
    <xf numFmtId="173" fontId="85" fillId="48" borderId="1" xfId="0" applyFont="1" applyFill="1" applyBorder="1" applyAlignment="1">
      <alignment horizontal="center"/>
    </xf>
    <xf numFmtId="166" fontId="87" fillId="12" borderId="11" xfId="0" applyNumberFormat="1" applyFont="1" applyFill="1" applyBorder="1" applyAlignment="1">
      <alignment horizontal="center"/>
    </xf>
    <xf numFmtId="178" fontId="84" fillId="0" borderId="0" xfId="1" applyNumberFormat="1" applyFont="1"/>
    <xf numFmtId="173" fontId="84" fillId="48" borderId="13" xfId="0" applyFont="1" applyFill="1" applyBorder="1"/>
    <xf numFmtId="173" fontId="85" fillId="48" borderId="13" xfId="0" applyFont="1" applyFill="1" applyBorder="1"/>
    <xf numFmtId="173" fontId="85" fillId="48" borderId="13" xfId="0" applyFont="1" applyFill="1" applyBorder="1" applyAlignment="1">
      <alignment horizontal="center"/>
    </xf>
    <xf numFmtId="173" fontId="84" fillId="48" borderId="8" xfId="0" applyFont="1" applyFill="1" applyBorder="1" applyAlignment="1">
      <alignment horizontal="center"/>
    </xf>
    <xf numFmtId="173" fontId="84" fillId="54" borderId="24" xfId="0" applyFont="1" applyFill="1" applyBorder="1"/>
    <xf numFmtId="176" fontId="84" fillId="54" borderId="24" xfId="0" applyNumberFormat="1" applyFont="1" applyFill="1" applyBorder="1"/>
    <xf numFmtId="9" fontId="84" fillId="0" borderId="19" xfId="2" applyFont="1" applyBorder="1"/>
    <xf numFmtId="9" fontId="85" fillId="48" borderId="24" xfId="2" applyFont="1" applyFill="1" applyBorder="1" applyAlignment="1">
      <alignment horizontal="center"/>
    </xf>
    <xf numFmtId="9" fontId="84" fillId="54" borderId="24" xfId="2" applyFont="1" applyFill="1" applyBorder="1"/>
    <xf numFmtId="9" fontId="88" fillId="53" borderId="24" xfId="2" applyFont="1" applyFill="1" applyBorder="1"/>
    <xf numFmtId="9" fontId="88" fillId="52" borderId="24" xfId="2" applyFont="1" applyFill="1" applyBorder="1"/>
    <xf numFmtId="9" fontId="88" fillId="54" borderId="24" xfId="2" applyFont="1" applyFill="1" applyBorder="1"/>
    <xf numFmtId="9" fontId="84" fillId="52" borderId="24" xfId="2" applyFont="1" applyFill="1" applyBorder="1"/>
    <xf numFmtId="9" fontId="84" fillId="53" borderId="24" xfId="2" applyFont="1" applyFill="1" applyBorder="1"/>
    <xf numFmtId="0" fontId="84" fillId="0" borderId="20" xfId="2" applyNumberFormat="1" applyFont="1" applyBorder="1"/>
    <xf numFmtId="0" fontId="84" fillId="0" borderId="0" xfId="2" applyNumberFormat="1" applyFont="1"/>
    <xf numFmtId="178" fontId="84" fillId="0" borderId="0" xfId="2" applyNumberFormat="1" applyFont="1"/>
    <xf numFmtId="0" fontId="84" fillId="0" borderId="0" xfId="2" applyNumberFormat="1" applyFont="1" applyAlignment="1">
      <alignment horizontal="center"/>
    </xf>
    <xf numFmtId="0" fontId="84" fillId="0" borderId="0" xfId="2" applyNumberFormat="1" applyFont="1" applyFill="1" applyBorder="1"/>
    <xf numFmtId="9" fontId="84" fillId="0" borderId="0" xfId="2" applyFont="1"/>
    <xf numFmtId="0" fontId="84" fillId="0" borderId="0" xfId="0" applyNumberFormat="1" applyFont="1"/>
    <xf numFmtId="176" fontId="88" fillId="54" borderId="24" xfId="0" applyNumberFormat="1" applyFont="1" applyFill="1" applyBorder="1"/>
    <xf numFmtId="10" fontId="84" fillId="0" borderId="0" xfId="0" applyNumberFormat="1" applyFont="1"/>
    <xf numFmtId="179" fontId="84" fillId="0" borderId="0" xfId="2" applyNumberFormat="1" applyFont="1"/>
    <xf numFmtId="176" fontId="88" fillId="53" borderId="24" xfId="2" applyNumberFormat="1" applyFont="1" applyFill="1" applyBorder="1"/>
    <xf numFmtId="176" fontId="84" fillId="54" borderId="24" xfId="2" applyNumberFormat="1" applyFont="1" applyFill="1" applyBorder="1"/>
    <xf numFmtId="9" fontId="85" fillId="54" borderId="24" xfId="2" applyFont="1" applyFill="1" applyBorder="1"/>
    <xf numFmtId="176" fontId="84" fillId="53" borderId="24" xfId="2" applyNumberFormat="1" applyFont="1" applyFill="1" applyBorder="1"/>
    <xf numFmtId="9" fontId="84" fillId="0" borderId="20" xfId="2" applyFont="1" applyBorder="1"/>
    <xf numFmtId="9" fontId="84" fillId="0" borderId="0" xfId="2" applyFont="1" applyAlignment="1">
      <alignment horizontal="center"/>
    </xf>
    <xf numFmtId="166" fontId="85" fillId="55" borderId="24" xfId="0" applyNumberFormat="1" applyFont="1" applyFill="1" applyBorder="1"/>
    <xf numFmtId="176" fontId="85" fillId="56" borderId="24" xfId="0" applyNumberFormat="1" applyFont="1" applyFill="1" applyBorder="1"/>
    <xf numFmtId="9" fontId="85" fillId="48" borderId="24" xfId="0" applyNumberFormat="1" applyFont="1" applyFill="1" applyBorder="1"/>
    <xf numFmtId="166" fontId="84" fillId="0" borderId="0" xfId="0" applyNumberFormat="1" applyFont="1" applyAlignment="1">
      <alignment horizontal="center"/>
    </xf>
    <xf numFmtId="180" fontId="84" fillId="0" borderId="0" xfId="1" applyNumberFormat="1" applyFont="1"/>
    <xf numFmtId="9" fontId="84" fillId="13" borderId="24" xfId="2" applyFont="1" applyFill="1" applyBorder="1"/>
    <xf numFmtId="10" fontId="84" fillId="13" borderId="24" xfId="2" applyNumberFormat="1" applyFont="1" applyFill="1" applyBorder="1"/>
    <xf numFmtId="10" fontId="88" fillId="53" borderId="24" xfId="2" applyNumberFormat="1" applyFont="1" applyFill="1" applyBorder="1"/>
    <xf numFmtId="10" fontId="88" fillId="52" borderId="24" xfId="2" applyNumberFormat="1" applyFont="1" applyFill="1" applyBorder="1"/>
    <xf numFmtId="10" fontId="84" fillId="53" borderId="24" xfId="2" applyNumberFormat="1" applyFont="1" applyFill="1" applyBorder="1"/>
    <xf numFmtId="166" fontId="84" fillId="0" borderId="0" xfId="2" applyNumberFormat="1" applyFont="1"/>
    <xf numFmtId="0" fontId="84" fillId="0" borderId="20" xfId="0" applyNumberFormat="1" applyFont="1" applyBorder="1"/>
    <xf numFmtId="9" fontId="84" fillId="0" borderId="0" xfId="0" applyNumberFormat="1" applyFont="1"/>
    <xf numFmtId="0" fontId="84" fillId="0" borderId="0" xfId="0" applyNumberFormat="1" applyFont="1" applyAlignment="1">
      <alignment horizontal="center"/>
    </xf>
    <xf numFmtId="10" fontId="84" fillId="0" borderId="19" xfId="0" applyNumberFormat="1" applyFont="1" applyBorder="1"/>
    <xf numFmtId="10" fontId="85" fillId="48" borderId="24" xfId="0" applyNumberFormat="1" applyFont="1" applyFill="1" applyBorder="1" applyAlignment="1">
      <alignment horizontal="center"/>
    </xf>
    <xf numFmtId="10" fontId="85" fillId="51" borderId="24" xfId="0" applyNumberFormat="1" applyFont="1" applyFill="1" applyBorder="1"/>
    <xf numFmtId="10" fontId="84" fillId="13" borderId="24" xfId="0" applyNumberFormat="1" applyFont="1" applyFill="1" applyBorder="1"/>
    <xf numFmtId="180" fontId="84" fillId="0" borderId="0" xfId="0" applyNumberFormat="1" applyFont="1"/>
    <xf numFmtId="181" fontId="84" fillId="0" borderId="0" xfId="1" applyNumberFormat="1" applyFont="1"/>
    <xf numFmtId="0" fontId="84" fillId="36" borderId="24" xfId="0" applyNumberFormat="1" applyFont="1" applyFill="1" applyBorder="1"/>
    <xf numFmtId="176" fontId="84" fillId="36" borderId="24" xfId="0" applyNumberFormat="1" applyFont="1" applyFill="1" applyBorder="1"/>
    <xf numFmtId="9" fontId="84" fillId="36" borderId="24" xfId="0" applyNumberFormat="1" applyFont="1" applyFill="1" applyBorder="1"/>
    <xf numFmtId="0" fontId="84" fillId="12" borderId="24" xfId="0" applyNumberFormat="1" applyFont="1" applyFill="1" applyBorder="1"/>
    <xf numFmtId="9" fontId="84" fillId="12" borderId="24" xfId="0" applyNumberFormat="1" applyFont="1" applyFill="1" applyBorder="1"/>
    <xf numFmtId="0" fontId="84" fillId="36" borderId="24" xfId="2" applyNumberFormat="1" applyFont="1" applyFill="1" applyBorder="1"/>
    <xf numFmtId="176" fontId="84" fillId="36" borderId="24" xfId="2" applyNumberFormat="1" applyFont="1" applyFill="1" applyBorder="1"/>
    <xf numFmtId="9" fontId="84" fillId="36" borderId="24" xfId="2" applyFont="1" applyFill="1" applyBorder="1"/>
    <xf numFmtId="176" fontId="89" fillId="36" borderId="24" xfId="0" applyNumberFormat="1" applyFont="1" applyFill="1" applyBorder="1"/>
    <xf numFmtId="173" fontId="85" fillId="57" borderId="24" xfId="0" applyFont="1" applyFill="1" applyBorder="1"/>
    <xf numFmtId="0" fontId="84" fillId="0" borderId="4" xfId="0" applyNumberFormat="1" applyFont="1" applyBorder="1"/>
    <xf numFmtId="0" fontId="84" fillId="0" borderId="0" xfId="0" applyNumberFormat="1" applyFont="1" applyBorder="1"/>
    <xf numFmtId="9" fontId="85" fillId="51" borderId="24" xfId="2" applyNumberFormat="1" applyFont="1" applyFill="1" applyBorder="1"/>
    <xf numFmtId="173" fontId="84" fillId="0" borderId="9" xfId="0" applyFont="1" applyFill="1" applyBorder="1"/>
    <xf numFmtId="176" fontId="85" fillId="48" borderId="24" xfId="0" applyNumberFormat="1" applyFont="1" applyFill="1" applyBorder="1" applyAlignment="1">
      <alignment horizontal="center"/>
    </xf>
    <xf numFmtId="176" fontId="85" fillId="48" borderId="24" xfId="0" applyNumberFormat="1" applyFont="1" applyFill="1" applyBorder="1" applyAlignment="1"/>
    <xf numFmtId="173" fontId="85" fillId="0" borderId="0" xfId="0" applyFont="1" applyBorder="1"/>
    <xf numFmtId="177" fontId="85" fillId="0" borderId="0" xfId="0" applyNumberFormat="1" applyFont="1" applyBorder="1"/>
    <xf numFmtId="176" fontId="85" fillId="0" borderId="0" xfId="0" applyNumberFormat="1" applyFont="1" applyBorder="1"/>
    <xf numFmtId="173" fontId="84" fillId="36" borderId="24" xfId="0" applyFont="1" applyFill="1" applyBorder="1"/>
    <xf numFmtId="173" fontId="84" fillId="0" borderId="10" xfId="0" applyFont="1" applyFill="1" applyBorder="1"/>
    <xf numFmtId="176" fontId="85" fillId="48" borderId="24" xfId="0" applyNumberFormat="1" applyFont="1" applyFill="1" applyBorder="1" applyAlignment="1">
      <alignment horizontal="right"/>
    </xf>
    <xf numFmtId="177" fontId="84" fillId="0" borderId="0" xfId="0" applyNumberFormat="1" applyFont="1" applyBorder="1"/>
    <xf numFmtId="9" fontId="84" fillId="0" borderId="0" xfId="0" applyNumberFormat="1" applyFont="1" applyBorder="1"/>
    <xf numFmtId="182" fontId="84" fillId="0" borderId="0" xfId="0" applyNumberFormat="1" applyFont="1" applyBorder="1"/>
    <xf numFmtId="10" fontId="84" fillId="0" borderId="0" xfId="2" applyNumberFormat="1" applyFont="1" applyFill="1" applyBorder="1"/>
    <xf numFmtId="176" fontId="84" fillId="0" borderId="0" xfId="0" applyNumberFormat="1" applyFont="1" applyBorder="1"/>
    <xf numFmtId="9" fontId="84" fillId="0" borderId="0" xfId="2" applyFont="1" applyBorder="1"/>
    <xf numFmtId="177" fontId="84" fillId="0" borderId="5" xfId="0" applyNumberFormat="1" applyFont="1" applyBorder="1"/>
    <xf numFmtId="9" fontId="85" fillId="48" borderId="24" xfId="0" applyNumberFormat="1" applyFont="1" applyFill="1" applyBorder="1" applyAlignment="1">
      <alignment horizontal="center"/>
    </xf>
    <xf numFmtId="180" fontId="84" fillId="0" borderId="0" xfId="1" applyNumberFormat="1" applyFont="1" applyBorder="1"/>
    <xf numFmtId="3" fontId="84" fillId="0" borderId="0" xfId="0" applyNumberFormat="1" applyFont="1" applyBorder="1"/>
    <xf numFmtId="173" fontId="84" fillId="0" borderId="4" xfId="0" applyFont="1" applyBorder="1" applyAlignment="1">
      <alignment horizontal="center"/>
    </xf>
    <xf numFmtId="173" fontId="84" fillId="0" borderId="0" xfId="0" applyFont="1" applyBorder="1" applyAlignment="1">
      <alignment horizontal="center"/>
    </xf>
    <xf numFmtId="10" fontId="84" fillId="0" borderId="0" xfId="2" applyNumberFormat="1" applyFont="1" applyBorder="1"/>
    <xf numFmtId="180" fontId="84" fillId="0" borderId="0" xfId="0" applyNumberFormat="1" applyFont="1" applyBorder="1"/>
    <xf numFmtId="173" fontId="84" fillId="0" borderId="11" xfId="0" applyFont="1" applyFill="1" applyBorder="1"/>
    <xf numFmtId="10" fontId="85" fillId="48" borderId="24" xfId="2" applyNumberFormat="1" applyFont="1" applyFill="1" applyBorder="1" applyAlignment="1">
      <alignment horizontal="center"/>
    </xf>
    <xf numFmtId="9" fontId="85" fillId="51" borderId="24" xfId="0" applyNumberFormat="1" applyFont="1" applyFill="1" applyBorder="1"/>
    <xf numFmtId="173" fontId="84" fillId="0" borderId="21" xfId="0" applyFont="1" applyBorder="1"/>
    <xf numFmtId="173" fontId="84" fillId="0" borderId="22" xfId="0" applyFont="1" applyBorder="1"/>
    <xf numFmtId="9" fontId="84" fillId="0" borderId="22" xfId="2" applyFont="1" applyBorder="1"/>
    <xf numFmtId="176" fontId="84" fillId="0" borderId="22" xfId="0" applyNumberFormat="1" applyFont="1" applyBorder="1"/>
    <xf numFmtId="180" fontId="84" fillId="0" borderId="22" xfId="0" applyNumberFormat="1" applyFont="1" applyBorder="1"/>
    <xf numFmtId="173" fontId="84" fillId="0" borderId="23" xfId="0" applyFont="1" applyBorder="1"/>
    <xf numFmtId="173" fontId="85" fillId="0" borderId="4" xfId="0" applyFont="1" applyFill="1" applyBorder="1" applyAlignment="1">
      <alignment horizontal="center"/>
    </xf>
    <xf numFmtId="173" fontId="85" fillId="0" borderId="0" xfId="0" applyFont="1" applyFill="1" applyBorder="1" applyAlignment="1">
      <alignment horizontal="center"/>
    </xf>
    <xf numFmtId="176" fontId="85" fillId="0" borderId="5" xfId="0" applyNumberFormat="1" applyFont="1" applyFill="1" applyBorder="1"/>
    <xf numFmtId="176" fontId="84" fillId="0" borderId="0" xfId="2" applyNumberFormat="1" applyFont="1"/>
    <xf numFmtId="9" fontId="85" fillId="48" borderId="24" xfId="2" applyFont="1" applyFill="1" applyBorder="1"/>
    <xf numFmtId="173" fontId="88" fillId="12" borderId="24" xfId="0" applyFont="1" applyFill="1" applyBorder="1"/>
    <xf numFmtId="173" fontId="84" fillId="52" borderId="24" xfId="0" applyFont="1" applyFill="1" applyBorder="1" applyAlignment="1">
      <alignment horizontal="center"/>
    </xf>
    <xf numFmtId="9" fontId="84" fillId="52" borderId="24" xfId="0" applyNumberFormat="1" applyFont="1" applyFill="1" applyBorder="1"/>
    <xf numFmtId="176" fontId="84" fillId="0" borderId="0" xfId="1" applyNumberFormat="1" applyFont="1"/>
    <xf numFmtId="173" fontId="90" fillId="0" borderId="0" xfId="0" applyFont="1"/>
    <xf numFmtId="9" fontId="90" fillId="0" borderId="0" xfId="2" applyFont="1"/>
    <xf numFmtId="10" fontId="90" fillId="0" borderId="0" xfId="0" applyNumberFormat="1" applyFont="1"/>
    <xf numFmtId="0" fontId="90" fillId="0" borderId="0" xfId="0" applyNumberFormat="1" applyFont="1" applyAlignment="1">
      <alignment horizontal="center"/>
    </xf>
    <xf numFmtId="0" fontId="90" fillId="0" borderId="24" xfId="0" applyNumberFormat="1" applyFont="1" applyBorder="1" applyAlignment="1">
      <alignment horizontal="center"/>
    </xf>
    <xf numFmtId="173" fontId="90" fillId="0" borderId="24" xfId="0" applyFont="1" applyBorder="1"/>
    <xf numFmtId="166" fontId="90" fillId="0" borderId="24" xfId="2" applyNumberFormat="1" applyFont="1" applyBorder="1"/>
    <xf numFmtId="173" fontId="91" fillId="7" borderId="24" xfId="0" applyFont="1" applyFill="1" applyBorder="1"/>
    <xf numFmtId="173" fontId="91" fillId="7" borderId="24" xfId="2" applyNumberFormat="1" applyFont="1" applyFill="1" applyBorder="1"/>
    <xf numFmtId="173" fontId="90" fillId="0" borderId="15" xfId="2" applyNumberFormat="1" applyFont="1" applyBorder="1"/>
    <xf numFmtId="0" fontId="83" fillId="0" borderId="0" xfId="0" applyNumberFormat="1" applyFont="1"/>
    <xf numFmtId="175" fontId="1" fillId="0" borderId="0" xfId="0" applyNumberFormat="1" applyFont="1"/>
    <xf numFmtId="166" fontId="66" fillId="46" borderId="0" xfId="2" applyNumberFormat="1" applyFont="1" applyFill="1" applyBorder="1"/>
    <xf numFmtId="10" fontId="66" fillId="46" borderId="0" xfId="2" applyNumberFormat="1" applyFont="1" applyFill="1" applyBorder="1"/>
    <xf numFmtId="166" fontId="1" fillId="0" borderId="0" xfId="2" applyNumberFormat="1" applyFont="1" applyBorder="1"/>
    <xf numFmtId="166" fontId="66" fillId="6" borderId="0" xfId="2" applyNumberFormat="1" applyFont="1" applyFill="1" applyBorder="1"/>
    <xf numFmtId="10" fontId="67" fillId="24" borderId="14" xfId="2" applyNumberFormat="1" applyFont="1" applyFill="1" applyBorder="1"/>
    <xf numFmtId="0" fontId="6" fillId="8" borderId="0" xfId="0" applyNumberFormat="1" applyFont="1" applyFill="1" applyBorder="1"/>
    <xf numFmtId="183" fontId="5" fillId="7" borderId="0" xfId="2" applyNumberFormat="1" applyFont="1" applyFill="1" applyBorder="1"/>
    <xf numFmtId="184" fontId="5" fillId="7" borderId="0" xfId="2" applyNumberFormat="1" applyFont="1" applyFill="1"/>
    <xf numFmtId="184" fontId="5" fillId="7" borderId="0" xfId="2" applyNumberFormat="1" applyFont="1" applyFill="1" applyBorder="1"/>
    <xf numFmtId="173" fontId="27" fillId="24" borderId="12" xfId="0" applyNumberFormat="1" applyFont="1" applyFill="1" applyBorder="1"/>
    <xf numFmtId="173" fontId="59" fillId="24" borderId="13" xfId="0" applyNumberFormat="1" applyFont="1" applyFill="1" applyBorder="1"/>
    <xf numFmtId="173" fontId="27" fillId="24" borderId="13" xfId="0" applyNumberFormat="1" applyFont="1" applyFill="1" applyBorder="1"/>
    <xf numFmtId="0" fontId="60" fillId="24" borderId="13" xfId="0" applyNumberFormat="1" applyFont="1" applyFill="1" applyBorder="1" applyAlignment="1">
      <alignment horizontal="center"/>
    </xf>
    <xf numFmtId="0" fontId="27" fillId="24" borderId="13" xfId="0" applyNumberFormat="1" applyFont="1" applyFill="1" applyBorder="1" applyAlignment="1">
      <alignment horizontal="center"/>
    </xf>
    <xf numFmtId="0" fontId="27" fillId="24" borderId="13" xfId="0" applyNumberFormat="1" applyFont="1" applyFill="1" applyBorder="1"/>
    <xf numFmtId="173" fontId="61" fillId="24" borderId="13" xfId="0" applyNumberFormat="1" applyFont="1" applyFill="1" applyBorder="1" applyAlignment="1">
      <alignment horizontal="right"/>
    </xf>
    <xf numFmtId="0" fontId="59" fillId="24" borderId="13" xfId="0" applyNumberFormat="1" applyFont="1" applyFill="1" applyBorder="1" applyAlignment="1">
      <alignment horizontal="right"/>
    </xf>
    <xf numFmtId="9" fontId="27" fillId="24" borderId="13" xfId="2" applyFont="1" applyFill="1" applyBorder="1"/>
    <xf numFmtId="173" fontId="27" fillId="24" borderId="13" xfId="0" applyNumberFormat="1" applyFont="1" applyFill="1" applyBorder="1" applyAlignment="1">
      <alignment horizontal="center"/>
    </xf>
    <xf numFmtId="167" fontId="27" fillId="24" borderId="13" xfId="2" applyNumberFormat="1" applyFont="1" applyFill="1" applyBorder="1"/>
    <xf numFmtId="173" fontId="27" fillId="24" borderId="24" xfId="0" applyNumberFormat="1" applyFont="1" applyFill="1" applyBorder="1" applyAlignment="1">
      <alignment horizontal="right"/>
    </xf>
    <xf numFmtId="173" fontId="61" fillId="24" borderId="0" xfId="0" applyNumberFormat="1" applyFont="1" applyFill="1"/>
    <xf numFmtId="173" fontId="27" fillId="24" borderId="4" xfId="0" applyNumberFormat="1" applyFont="1" applyFill="1" applyBorder="1"/>
    <xf numFmtId="173" fontId="27" fillId="24" borderId="10" xfId="0" applyNumberFormat="1" applyFont="1" applyFill="1" applyBorder="1"/>
    <xf numFmtId="173" fontId="27" fillId="24" borderId="0" xfId="0" applyNumberFormat="1" applyFont="1" applyFill="1" applyBorder="1"/>
    <xf numFmtId="173" fontId="27" fillId="24" borderId="0" xfId="0" applyNumberFormat="1" applyFont="1" applyFill="1"/>
    <xf numFmtId="173" fontId="59" fillId="24" borderId="0" xfId="0" applyNumberFormat="1" applyFont="1" applyFill="1"/>
    <xf numFmtId="9" fontId="5" fillId="19" borderId="13" xfId="2" applyNumberFormat="1" applyFont="1" applyFill="1" applyBorder="1"/>
    <xf numFmtId="1" fontId="1" fillId="0" borderId="0" xfId="0" applyNumberFormat="1" applyFont="1" applyFill="1"/>
    <xf numFmtId="173" fontId="1" fillId="2" borderId="10" xfId="0" applyFont="1" applyFill="1" applyBorder="1" applyAlignment="1">
      <alignment horizontal="center"/>
    </xf>
    <xf numFmtId="173" fontId="1" fillId="3" borderId="35" xfId="0" applyFont="1" applyFill="1" applyBorder="1"/>
    <xf numFmtId="3" fontId="1" fillId="3" borderId="0" xfId="0" applyNumberFormat="1" applyFont="1" applyFill="1"/>
    <xf numFmtId="173" fontId="1" fillId="26" borderId="35" xfId="0" applyFont="1" applyFill="1" applyBorder="1"/>
    <xf numFmtId="3" fontId="1" fillId="26" borderId="0" xfId="0" applyNumberFormat="1" applyFont="1" applyFill="1"/>
    <xf numFmtId="173" fontId="1" fillId="26" borderId="0" xfId="0" applyFont="1" applyFill="1" applyAlignment="1">
      <alignment horizontal="center"/>
    </xf>
    <xf numFmtId="173" fontId="1" fillId="3" borderId="36" xfId="0" applyFont="1" applyFill="1" applyBorder="1"/>
    <xf numFmtId="173" fontId="1" fillId="26" borderId="36" xfId="0" applyFont="1" applyFill="1" applyBorder="1"/>
    <xf numFmtId="173" fontId="1" fillId="3" borderId="37" xfId="0" applyFont="1" applyFill="1" applyBorder="1"/>
    <xf numFmtId="173" fontId="1" fillId="26" borderId="37" xfId="0" applyFont="1" applyFill="1" applyBorder="1"/>
    <xf numFmtId="173" fontId="1" fillId="23" borderId="37" xfId="0" applyFont="1" applyFill="1" applyBorder="1"/>
    <xf numFmtId="173" fontId="1" fillId="58" borderId="37" xfId="0" applyFont="1" applyFill="1" applyBorder="1"/>
    <xf numFmtId="173" fontId="83" fillId="0" borderId="0" xfId="0" applyFont="1"/>
    <xf numFmtId="169" fontId="92" fillId="9" borderId="0" xfId="2" applyNumberFormat="1" applyFont="1" applyFill="1"/>
    <xf numFmtId="169" fontId="5" fillId="9" borderId="0" xfId="2" applyNumberFormat="1" applyFont="1" applyFill="1"/>
    <xf numFmtId="169" fontId="5" fillId="9" borderId="13" xfId="2" applyNumberFormat="1" applyFont="1" applyFill="1" applyBorder="1"/>
    <xf numFmtId="10" fontId="5" fillId="9" borderId="14" xfId="2" applyNumberFormat="1" applyFont="1" applyFill="1" applyBorder="1"/>
  </cellXfs>
  <cellStyles count="4">
    <cellStyle name="Comma" xfId="1" builtinId="3"/>
    <cellStyle name="Currency" xfId="3" builtinId="4"/>
    <cellStyle name="Normal" xfId="0" builtinId="0"/>
    <cellStyle name="Percent" xfId="2" builtinId="5"/>
  </cellStyles>
  <dxfs count="0"/>
  <tableStyles count="0" defaultTableStyle="TableStyleMedium2" defaultPivotStyle="PivotStyleLight16"/>
  <colors>
    <mruColors>
      <color rgb="FF66FFCC"/>
      <color rgb="FF4E617A"/>
      <color rgb="FF666699"/>
      <color rgb="FF00E699"/>
      <color rgb="FFC1FFF3"/>
      <color rgb="FFFFCCFF"/>
      <color rgb="FF99FFCC"/>
      <color rgb="FFF3F3FF"/>
      <color rgb="FFE1E1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4.png"/><Relationship Id="rId5" Type="http://schemas.openxmlformats.org/officeDocument/2006/relationships/image" Target="../media/image13.jpg"/><Relationship Id="rId4" Type="http://schemas.openxmlformats.org/officeDocument/2006/relationships/image" Target="../media/image12.gif"/></Relationships>
</file>

<file path=xl/drawings/_rels/drawing4.xml.rels><?xml version="1.0" encoding="UTF-8" standalone="yes"?>
<Relationships xmlns="http://schemas.openxmlformats.org/package/2006/relationships"><Relationship Id="rId1" Type="http://schemas.openxmlformats.org/officeDocument/2006/relationships/image" Target="../media/image15.jpg"/></Relationships>
</file>

<file path=xl/drawings/_rels/drawing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7.jpg"/><Relationship Id="rId1"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editAs="oneCell">
    <xdr:from>
      <xdr:col>75</xdr:col>
      <xdr:colOff>975359</xdr:colOff>
      <xdr:row>2</xdr:row>
      <xdr:rowOff>190500</xdr:rowOff>
    </xdr:from>
    <xdr:to>
      <xdr:col>88</xdr:col>
      <xdr:colOff>83779</xdr:colOff>
      <xdr:row>32</xdr:row>
      <xdr:rowOff>114300</xdr:rowOff>
    </xdr:to>
    <xdr:pic>
      <xdr:nvPicPr>
        <xdr:cNvPr id="2" name="Picture 1">
          <a:extLst>
            <a:ext uri="{FF2B5EF4-FFF2-40B4-BE49-F238E27FC236}">
              <a16:creationId xmlns:a16="http://schemas.microsoft.com/office/drawing/2014/main" id="{7638F17F-E41F-4698-8D47-A2F196BC0B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20479" y="708660"/>
          <a:ext cx="7680920" cy="5867400"/>
        </a:xfrm>
        <a:prstGeom prst="rect">
          <a:avLst/>
        </a:prstGeom>
      </xdr:spPr>
    </xdr:pic>
    <xdr:clientData/>
  </xdr:twoCellAnchor>
  <xdr:twoCellAnchor editAs="oneCell">
    <xdr:from>
      <xdr:col>76</xdr:col>
      <xdr:colOff>7620</xdr:colOff>
      <xdr:row>34</xdr:row>
      <xdr:rowOff>36805</xdr:rowOff>
    </xdr:from>
    <xdr:to>
      <xdr:col>88</xdr:col>
      <xdr:colOff>76200</xdr:colOff>
      <xdr:row>67</xdr:row>
      <xdr:rowOff>104140</xdr:rowOff>
    </xdr:to>
    <xdr:pic>
      <xdr:nvPicPr>
        <xdr:cNvPr id="3" name="Picture 2">
          <a:extLst>
            <a:ext uri="{FF2B5EF4-FFF2-40B4-BE49-F238E27FC236}">
              <a16:creationId xmlns:a16="http://schemas.microsoft.com/office/drawing/2014/main" id="{0AB7B603-B6A0-4947-B089-50699E294D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28100" y="6894805"/>
          <a:ext cx="7665720" cy="6605295"/>
        </a:xfrm>
        <a:prstGeom prst="rect">
          <a:avLst/>
        </a:prstGeom>
      </xdr:spPr>
    </xdr:pic>
    <xdr:clientData/>
  </xdr:twoCellAnchor>
  <xdr:twoCellAnchor editAs="oneCell">
    <xdr:from>
      <xdr:col>76</xdr:col>
      <xdr:colOff>22859</xdr:colOff>
      <xdr:row>99</xdr:row>
      <xdr:rowOff>30542</xdr:rowOff>
    </xdr:from>
    <xdr:to>
      <xdr:col>88</xdr:col>
      <xdr:colOff>83614</xdr:colOff>
      <xdr:row>124</xdr:row>
      <xdr:rowOff>38100</xdr:rowOff>
    </xdr:to>
    <xdr:pic>
      <xdr:nvPicPr>
        <xdr:cNvPr id="4" name="Picture 3">
          <a:extLst>
            <a:ext uri="{FF2B5EF4-FFF2-40B4-BE49-F238E27FC236}">
              <a16:creationId xmlns:a16="http://schemas.microsoft.com/office/drawing/2014/main" id="{99A88228-8088-4F48-8380-8B54F2E056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43339" y="19819682"/>
          <a:ext cx="7657895" cy="5120578"/>
        </a:xfrm>
        <a:prstGeom prst="rect">
          <a:avLst/>
        </a:prstGeom>
      </xdr:spPr>
    </xdr:pic>
    <xdr:clientData/>
  </xdr:twoCellAnchor>
  <xdr:twoCellAnchor editAs="oneCell">
    <xdr:from>
      <xdr:col>76</xdr:col>
      <xdr:colOff>15240</xdr:colOff>
      <xdr:row>69</xdr:row>
      <xdr:rowOff>9554</xdr:rowOff>
    </xdr:from>
    <xdr:to>
      <xdr:col>88</xdr:col>
      <xdr:colOff>83820</xdr:colOff>
      <xdr:row>97</xdr:row>
      <xdr:rowOff>20899</xdr:rowOff>
    </xdr:to>
    <xdr:pic>
      <xdr:nvPicPr>
        <xdr:cNvPr id="5" name="Picture 4">
          <a:extLst>
            <a:ext uri="{FF2B5EF4-FFF2-40B4-BE49-F238E27FC236}">
              <a16:creationId xmlns:a16="http://schemas.microsoft.com/office/drawing/2014/main" id="{E3310EF8-DEBA-472A-A224-9A12F7D243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435720" y="13801754"/>
          <a:ext cx="7665720" cy="5596805"/>
        </a:xfrm>
        <a:prstGeom prst="rect">
          <a:avLst/>
        </a:prstGeom>
      </xdr:spPr>
    </xdr:pic>
    <xdr:clientData/>
  </xdr:twoCellAnchor>
  <xdr:twoCellAnchor editAs="oneCell">
    <xdr:from>
      <xdr:col>37</xdr:col>
      <xdr:colOff>0</xdr:colOff>
      <xdr:row>258</xdr:row>
      <xdr:rowOff>0</xdr:rowOff>
    </xdr:from>
    <xdr:to>
      <xdr:col>40</xdr:col>
      <xdr:colOff>656697</xdr:colOff>
      <xdr:row>283</xdr:row>
      <xdr:rowOff>137160</xdr:rowOff>
    </xdr:to>
    <xdr:pic>
      <xdr:nvPicPr>
        <xdr:cNvPr id="6" name="Picture 5">
          <a:extLst>
            <a:ext uri="{FF2B5EF4-FFF2-40B4-BE49-F238E27FC236}">
              <a16:creationId xmlns:a16="http://schemas.microsoft.com/office/drawing/2014/main" id="{6437280A-7AE1-442F-AA97-EC68633F0A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0" y="51435000"/>
          <a:ext cx="5083917" cy="5090160"/>
        </a:xfrm>
        <a:prstGeom prst="rect">
          <a:avLst/>
        </a:prstGeom>
      </xdr:spPr>
    </xdr:pic>
    <xdr:clientData/>
  </xdr:twoCellAnchor>
  <xdr:twoCellAnchor editAs="oneCell">
    <xdr:from>
      <xdr:col>76</xdr:col>
      <xdr:colOff>15240</xdr:colOff>
      <xdr:row>126</xdr:row>
      <xdr:rowOff>15240</xdr:rowOff>
    </xdr:from>
    <xdr:to>
      <xdr:col>88</xdr:col>
      <xdr:colOff>76200</xdr:colOff>
      <xdr:row>156</xdr:row>
      <xdr:rowOff>150883</xdr:rowOff>
    </xdr:to>
    <xdr:pic>
      <xdr:nvPicPr>
        <xdr:cNvPr id="7" name="Picture 6">
          <a:extLst>
            <a:ext uri="{FF2B5EF4-FFF2-40B4-BE49-F238E27FC236}">
              <a16:creationId xmlns:a16="http://schemas.microsoft.com/office/drawing/2014/main" id="{9805739E-74D5-48E4-B8FF-01D814A9463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435720" y="25206960"/>
          <a:ext cx="7658100" cy="6132583"/>
        </a:xfrm>
        <a:prstGeom prst="rect">
          <a:avLst/>
        </a:prstGeom>
      </xdr:spPr>
    </xdr:pic>
    <xdr:clientData/>
  </xdr:twoCellAnchor>
  <xdr:twoCellAnchor editAs="oneCell">
    <xdr:from>
      <xdr:col>37</xdr:col>
      <xdr:colOff>0</xdr:colOff>
      <xdr:row>286</xdr:row>
      <xdr:rowOff>0</xdr:rowOff>
    </xdr:from>
    <xdr:to>
      <xdr:col>44</xdr:col>
      <xdr:colOff>60960</xdr:colOff>
      <xdr:row>319</xdr:row>
      <xdr:rowOff>22325</xdr:rowOff>
    </xdr:to>
    <xdr:pic>
      <xdr:nvPicPr>
        <xdr:cNvPr id="8" name="Picture 7">
          <a:extLst>
            <a:ext uri="{FF2B5EF4-FFF2-40B4-BE49-F238E27FC236}">
              <a16:creationId xmlns:a16="http://schemas.microsoft.com/office/drawing/2014/main" id="{95E52A51-62A9-4BB1-825A-CBD55D910BD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767500" y="56982360"/>
          <a:ext cx="7650480" cy="6560285"/>
        </a:xfrm>
        <a:prstGeom prst="rect">
          <a:avLst/>
        </a:prstGeom>
      </xdr:spPr>
    </xdr:pic>
    <xdr:clientData/>
  </xdr:twoCellAnchor>
  <xdr:twoCellAnchor editAs="oneCell">
    <xdr:from>
      <xdr:col>76</xdr:col>
      <xdr:colOff>15240</xdr:colOff>
      <xdr:row>158</xdr:row>
      <xdr:rowOff>4462</xdr:rowOff>
    </xdr:from>
    <xdr:to>
      <xdr:col>88</xdr:col>
      <xdr:colOff>106680</xdr:colOff>
      <xdr:row>189</xdr:row>
      <xdr:rowOff>45720</xdr:rowOff>
    </xdr:to>
    <xdr:pic>
      <xdr:nvPicPr>
        <xdr:cNvPr id="9" name="Picture 8">
          <a:extLst>
            <a:ext uri="{FF2B5EF4-FFF2-40B4-BE49-F238E27FC236}">
              <a16:creationId xmlns:a16="http://schemas.microsoft.com/office/drawing/2014/main" id="{DCA007BD-EA4E-4D0C-921A-8B4F436146B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435720" y="31612222"/>
          <a:ext cx="7688580" cy="6091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75</xdr:col>
      <xdr:colOff>975359</xdr:colOff>
      <xdr:row>2</xdr:row>
      <xdr:rowOff>190500</xdr:rowOff>
    </xdr:from>
    <xdr:to>
      <xdr:col>88</xdr:col>
      <xdr:colOff>83779</xdr:colOff>
      <xdr:row>32</xdr:row>
      <xdr:rowOff>114300</xdr:rowOff>
    </xdr:to>
    <xdr:pic>
      <xdr:nvPicPr>
        <xdr:cNvPr id="2" name="Picture 1">
          <a:extLst>
            <a:ext uri="{FF2B5EF4-FFF2-40B4-BE49-F238E27FC236}">
              <a16:creationId xmlns:a16="http://schemas.microsoft.com/office/drawing/2014/main" id="{D8D146B7-ED00-4F61-829E-2F09E6643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20479" y="708660"/>
          <a:ext cx="7680920" cy="5867400"/>
        </a:xfrm>
        <a:prstGeom prst="rect">
          <a:avLst/>
        </a:prstGeom>
      </xdr:spPr>
    </xdr:pic>
    <xdr:clientData/>
  </xdr:twoCellAnchor>
  <xdr:twoCellAnchor editAs="oneCell">
    <xdr:from>
      <xdr:col>76</xdr:col>
      <xdr:colOff>7620</xdr:colOff>
      <xdr:row>34</xdr:row>
      <xdr:rowOff>36805</xdr:rowOff>
    </xdr:from>
    <xdr:to>
      <xdr:col>88</xdr:col>
      <xdr:colOff>76200</xdr:colOff>
      <xdr:row>67</xdr:row>
      <xdr:rowOff>104140</xdr:rowOff>
    </xdr:to>
    <xdr:pic>
      <xdr:nvPicPr>
        <xdr:cNvPr id="3" name="Picture 2">
          <a:extLst>
            <a:ext uri="{FF2B5EF4-FFF2-40B4-BE49-F238E27FC236}">
              <a16:creationId xmlns:a16="http://schemas.microsoft.com/office/drawing/2014/main" id="{7A2F2BB0-8484-4574-B2F1-359A2A6F09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428100" y="6894805"/>
          <a:ext cx="7665720" cy="6605295"/>
        </a:xfrm>
        <a:prstGeom prst="rect">
          <a:avLst/>
        </a:prstGeom>
      </xdr:spPr>
    </xdr:pic>
    <xdr:clientData/>
  </xdr:twoCellAnchor>
  <xdr:twoCellAnchor editAs="oneCell">
    <xdr:from>
      <xdr:col>76</xdr:col>
      <xdr:colOff>22859</xdr:colOff>
      <xdr:row>99</xdr:row>
      <xdr:rowOff>30542</xdr:rowOff>
    </xdr:from>
    <xdr:to>
      <xdr:col>88</xdr:col>
      <xdr:colOff>83614</xdr:colOff>
      <xdr:row>124</xdr:row>
      <xdr:rowOff>38100</xdr:rowOff>
    </xdr:to>
    <xdr:pic>
      <xdr:nvPicPr>
        <xdr:cNvPr id="4" name="Picture 3">
          <a:extLst>
            <a:ext uri="{FF2B5EF4-FFF2-40B4-BE49-F238E27FC236}">
              <a16:creationId xmlns:a16="http://schemas.microsoft.com/office/drawing/2014/main" id="{91737452-6AFE-45EF-BE9A-0FBC040C006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43339" y="19819682"/>
          <a:ext cx="7657895" cy="5090098"/>
        </a:xfrm>
        <a:prstGeom prst="rect">
          <a:avLst/>
        </a:prstGeom>
      </xdr:spPr>
    </xdr:pic>
    <xdr:clientData/>
  </xdr:twoCellAnchor>
  <xdr:twoCellAnchor editAs="oneCell">
    <xdr:from>
      <xdr:col>76</xdr:col>
      <xdr:colOff>15240</xdr:colOff>
      <xdr:row>69</xdr:row>
      <xdr:rowOff>9554</xdr:rowOff>
    </xdr:from>
    <xdr:to>
      <xdr:col>88</xdr:col>
      <xdr:colOff>83820</xdr:colOff>
      <xdr:row>97</xdr:row>
      <xdr:rowOff>20899</xdr:rowOff>
    </xdr:to>
    <xdr:pic>
      <xdr:nvPicPr>
        <xdr:cNvPr id="5" name="Picture 4">
          <a:extLst>
            <a:ext uri="{FF2B5EF4-FFF2-40B4-BE49-F238E27FC236}">
              <a16:creationId xmlns:a16="http://schemas.microsoft.com/office/drawing/2014/main" id="{4658508C-5612-4074-AA16-A2BFD2326B9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435720" y="13801754"/>
          <a:ext cx="7665720" cy="5596805"/>
        </a:xfrm>
        <a:prstGeom prst="rect">
          <a:avLst/>
        </a:prstGeom>
      </xdr:spPr>
    </xdr:pic>
    <xdr:clientData/>
  </xdr:twoCellAnchor>
  <xdr:twoCellAnchor editAs="oneCell">
    <xdr:from>
      <xdr:col>37</xdr:col>
      <xdr:colOff>0</xdr:colOff>
      <xdr:row>258</xdr:row>
      <xdr:rowOff>0</xdr:rowOff>
    </xdr:from>
    <xdr:to>
      <xdr:col>39</xdr:col>
      <xdr:colOff>999597</xdr:colOff>
      <xdr:row>283</xdr:row>
      <xdr:rowOff>137160</xdr:rowOff>
    </xdr:to>
    <xdr:pic>
      <xdr:nvPicPr>
        <xdr:cNvPr id="6" name="Picture 5">
          <a:extLst>
            <a:ext uri="{FF2B5EF4-FFF2-40B4-BE49-F238E27FC236}">
              <a16:creationId xmlns:a16="http://schemas.microsoft.com/office/drawing/2014/main" id="{4E7D2F4D-DAB4-437D-B770-8C0F72CABD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00" y="51435000"/>
          <a:ext cx="5083917" cy="5090160"/>
        </a:xfrm>
        <a:prstGeom prst="rect">
          <a:avLst/>
        </a:prstGeom>
      </xdr:spPr>
    </xdr:pic>
    <xdr:clientData/>
  </xdr:twoCellAnchor>
  <xdr:twoCellAnchor editAs="oneCell">
    <xdr:from>
      <xdr:col>76</xdr:col>
      <xdr:colOff>15240</xdr:colOff>
      <xdr:row>126</xdr:row>
      <xdr:rowOff>15240</xdr:rowOff>
    </xdr:from>
    <xdr:to>
      <xdr:col>88</xdr:col>
      <xdr:colOff>76200</xdr:colOff>
      <xdr:row>156</xdr:row>
      <xdr:rowOff>150883</xdr:rowOff>
    </xdr:to>
    <xdr:pic>
      <xdr:nvPicPr>
        <xdr:cNvPr id="7" name="Picture 6">
          <a:extLst>
            <a:ext uri="{FF2B5EF4-FFF2-40B4-BE49-F238E27FC236}">
              <a16:creationId xmlns:a16="http://schemas.microsoft.com/office/drawing/2014/main" id="{9178C076-DE53-4A98-A869-88DBEA83927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435720" y="25206960"/>
          <a:ext cx="7658100" cy="6132583"/>
        </a:xfrm>
        <a:prstGeom prst="rect">
          <a:avLst/>
        </a:prstGeom>
      </xdr:spPr>
    </xdr:pic>
    <xdr:clientData/>
  </xdr:twoCellAnchor>
  <xdr:twoCellAnchor editAs="oneCell">
    <xdr:from>
      <xdr:col>37</xdr:col>
      <xdr:colOff>0</xdr:colOff>
      <xdr:row>286</xdr:row>
      <xdr:rowOff>0</xdr:rowOff>
    </xdr:from>
    <xdr:to>
      <xdr:col>42</xdr:col>
      <xdr:colOff>350520</xdr:colOff>
      <xdr:row>319</xdr:row>
      <xdr:rowOff>22325</xdr:rowOff>
    </xdr:to>
    <xdr:pic>
      <xdr:nvPicPr>
        <xdr:cNvPr id="8" name="Picture 7">
          <a:extLst>
            <a:ext uri="{FF2B5EF4-FFF2-40B4-BE49-F238E27FC236}">
              <a16:creationId xmlns:a16="http://schemas.microsoft.com/office/drawing/2014/main" id="{DC3EC16F-3BBD-4CC3-AACF-C4666124223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4767500" y="56982360"/>
          <a:ext cx="7650480" cy="6560285"/>
        </a:xfrm>
        <a:prstGeom prst="rect">
          <a:avLst/>
        </a:prstGeom>
      </xdr:spPr>
    </xdr:pic>
    <xdr:clientData/>
  </xdr:twoCellAnchor>
  <xdr:twoCellAnchor editAs="oneCell">
    <xdr:from>
      <xdr:col>76</xdr:col>
      <xdr:colOff>15240</xdr:colOff>
      <xdr:row>158</xdr:row>
      <xdr:rowOff>4462</xdr:rowOff>
    </xdr:from>
    <xdr:to>
      <xdr:col>88</xdr:col>
      <xdr:colOff>106680</xdr:colOff>
      <xdr:row>189</xdr:row>
      <xdr:rowOff>45720</xdr:rowOff>
    </xdr:to>
    <xdr:pic>
      <xdr:nvPicPr>
        <xdr:cNvPr id="9" name="Picture 8">
          <a:extLst>
            <a:ext uri="{FF2B5EF4-FFF2-40B4-BE49-F238E27FC236}">
              <a16:creationId xmlns:a16="http://schemas.microsoft.com/office/drawing/2014/main" id="{B448D404-35F1-467B-903F-ACC8D7C1B3E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435720" y="31612222"/>
          <a:ext cx="7688580" cy="6091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29</xdr:col>
      <xdr:colOff>304800</xdr:colOff>
      <xdr:row>32</xdr:row>
      <xdr:rowOff>168393</xdr:rowOff>
    </xdr:to>
    <xdr:pic>
      <xdr:nvPicPr>
        <xdr:cNvPr id="3" name="Picture 2">
          <a:extLst>
            <a:ext uri="{FF2B5EF4-FFF2-40B4-BE49-F238E27FC236}">
              <a16:creationId xmlns:a16="http://schemas.microsoft.com/office/drawing/2014/main" id="{D8DC327D-340C-4D1D-83F2-06304598E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2820" y="792480"/>
          <a:ext cx="10058400" cy="7018773"/>
        </a:xfrm>
        <a:prstGeom prst="rect">
          <a:avLst/>
        </a:prstGeom>
      </xdr:spPr>
    </xdr:pic>
    <xdr:clientData/>
  </xdr:twoCellAnchor>
  <xdr:twoCellAnchor editAs="oneCell">
    <xdr:from>
      <xdr:col>30</xdr:col>
      <xdr:colOff>0</xdr:colOff>
      <xdr:row>3</xdr:row>
      <xdr:rowOff>0</xdr:rowOff>
    </xdr:from>
    <xdr:to>
      <xdr:col>41</xdr:col>
      <xdr:colOff>476250</xdr:colOff>
      <xdr:row>23</xdr:row>
      <xdr:rowOff>38100</xdr:rowOff>
    </xdr:to>
    <xdr:pic>
      <xdr:nvPicPr>
        <xdr:cNvPr id="6" name="Picture 5">
          <a:extLst>
            <a:ext uri="{FF2B5EF4-FFF2-40B4-BE49-F238E27FC236}">
              <a16:creationId xmlns:a16="http://schemas.microsoft.com/office/drawing/2014/main" id="{F3D73981-3DBA-4753-B8A3-CD832B0E1B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496020" y="792480"/>
          <a:ext cx="7181850" cy="4762500"/>
        </a:xfrm>
        <a:prstGeom prst="rect">
          <a:avLst/>
        </a:prstGeom>
      </xdr:spPr>
    </xdr:pic>
    <xdr:clientData/>
  </xdr:twoCellAnchor>
  <xdr:twoCellAnchor editAs="oneCell">
    <xdr:from>
      <xdr:col>13</xdr:col>
      <xdr:colOff>0</xdr:colOff>
      <xdr:row>52</xdr:row>
      <xdr:rowOff>0</xdr:rowOff>
    </xdr:from>
    <xdr:to>
      <xdr:col>29</xdr:col>
      <xdr:colOff>304800</xdr:colOff>
      <xdr:row>82</xdr:row>
      <xdr:rowOff>26980</xdr:rowOff>
    </xdr:to>
    <xdr:pic>
      <xdr:nvPicPr>
        <xdr:cNvPr id="8" name="Picture 7">
          <a:extLst>
            <a:ext uri="{FF2B5EF4-FFF2-40B4-BE49-F238E27FC236}">
              <a16:creationId xmlns:a16="http://schemas.microsoft.com/office/drawing/2014/main" id="{47FBF63D-B558-494C-8B68-ED93CAFFB8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132820" y="8115300"/>
          <a:ext cx="10058400" cy="7113580"/>
        </a:xfrm>
        <a:prstGeom prst="rect">
          <a:avLst/>
        </a:prstGeom>
      </xdr:spPr>
    </xdr:pic>
    <xdr:clientData/>
  </xdr:twoCellAnchor>
  <xdr:twoCellAnchor editAs="oneCell">
    <xdr:from>
      <xdr:col>13</xdr:col>
      <xdr:colOff>0</xdr:colOff>
      <xdr:row>83</xdr:row>
      <xdr:rowOff>0</xdr:rowOff>
    </xdr:from>
    <xdr:to>
      <xdr:col>23</xdr:col>
      <xdr:colOff>571500</xdr:colOff>
      <xdr:row>100</xdr:row>
      <xdr:rowOff>222885</xdr:rowOff>
    </xdr:to>
    <xdr:pic>
      <xdr:nvPicPr>
        <xdr:cNvPr id="10" name="Picture 9">
          <a:extLst>
            <a:ext uri="{FF2B5EF4-FFF2-40B4-BE49-F238E27FC236}">
              <a16:creationId xmlns:a16="http://schemas.microsoft.com/office/drawing/2014/main" id="{05640BF6-4853-4A3E-B081-A568D74715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32820" y="15438120"/>
          <a:ext cx="6667500" cy="4238625"/>
        </a:xfrm>
        <a:prstGeom prst="rect">
          <a:avLst/>
        </a:prstGeom>
      </xdr:spPr>
    </xdr:pic>
    <xdr:clientData/>
  </xdr:twoCellAnchor>
  <xdr:twoCellAnchor editAs="oneCell">
    <xdr:from>
      <xdr:col>13</xdr:col>
      <xdr:colOff>0</xdr:colOff>
      <xdr:row>102</xdr:row>
      <xdr:rowOff>0</xdr:rowOff>
    </xdr:from>
    <xdr:to>
      <xdr:col>25</xdr:col>
      <xdr:colOff>304800</xdr:colOff>
      <xdr:row>127</xdr:row>
      <xdr:rowOff>190500</xdr:rowOff>
    </xdr:to>
    <xdr:pic>
      <xdr:nvPicPr>
        <xdr:cNvPr id="12" name="Picture 11">
          <a:extLst>
            <a:ext uri="{FF2B5EF4-FFF2-40B4-BE49-F238E27FC236}">
              <a16:creationId xmlns:a16="http://schemas.microsoft.com/office/drawing/2014/main" id="{2C022932-1CA2-4322-95EE-AE61655AF41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132820" y="19926300"/>
          <a:ext cx="7620000" cy="6096000"/>
        </a:xfrm>
        <a:prstGeom prst="rect">
          <a:avLst/>
        </a:prstGeom>
      </xdr:spPr>
    </xdr:pic>
    <xdr:clientData/>
  </xdr:twoCellAnchor>
  <xdr:twoCellAnchor editAs="oneCell">
    <xdr:from>
      <xdr:col>26</xdr:col>
      <xdr:colOff>0</xdr:colOff>
      <xdr:row>102</xdr:row>
      <xdr:rowOff>0</xdr:rowOff>
    </xdr:from>
    <xdr:to>
      <xdr:col>33</xdr:col>
      <xdr:colOff>390525</xdr:colOff>
      <xdr:row>115</xdr:row>
      <xdr:rowOff>139065</xdr:rowOff>
    </xdr:to>
    <xdr:pic>
      <xdr:nvPicPr>
        <xdr:cNvPr id="14" name="Picture 13">
          <a:extLst>
            <a:ext uri="{FF2B5EF4-FFF2-40B4-BE49-F238E27FC236}">
              <a16:creationId xmlns:a16="http://schemas.microsoft.com/office/drawing/2014/main" id="{8DC0C733-107F-4070-9F55-35A70E9FAD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7620" y="19926300"/>
          <a:ext cx="4657725" cy="3209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106680</xdr:colOff>
      <xdr:row>7</xdr:row>
      <xdr:rowOff>7620</xdr:rowOff>
    </xdr:from>
    <xdr:to>
      <xdr:col>9</xdr:col>
      <xdr:colOff>1386840</xdr:colOff>
      <xdr:row>24</xdr:row>
      <xdr:rowOff>38100</xdr:rowOff>
    </xdr:to>
    <xdr:pic>
      <xdr:nvPicPr>
        <xdr:cNvPr id="3" name="Picture 2">
          <a:extLst>
            <a:ext uri="{FF2B5EF4-FFF2-40B4-BE49-F238E27FC236}">
              <a16:creationId xmlns:a16="http://schemas.microsoft.com/office/drawing/2014/main" id="{F903B339-5C13-4342-B180-91E4E4B136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84820" y="1760220"/>
          <a:ext cx="5852160" cy="3398520"/>
        </a:xfrm>
        <a:prstGeom prst="rect">
          <a:avLst/>
        </a:prstGeom>
      </xdr:spPr>
    </xdr:pic>
    <xdr:clientData/>
  </xdr:twoCellAnchor>
  <xdr:oneCellAnchor>
    <xdr:from>
      <xdr:col>6</xdr:col>
      <xdr:colOff>106680</xdr:colOff>
      <xdr:row>34</xdr:row>
      <xdr:rowOff>7620</xdr:rowOff>
    </xdr:from>
    <xdr:ext cx="5852160" cy="3398520"/>
    <xdr:pic>
      <xdr:nvPicPr>
        <xdr:cNvPr id="6" name="Picture 5">
          <a:extLst>
            <a:ext uri="{FF2B5EF4-FFF2-40B4-BE49-F238E27FC236}">
              <a16:creationId xmlns:a16="http://schemas.microsoft.com/office/drawing/2014/main" id="{41349954-1619-4D02-BC77-CE443F3B9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3820" y="1699260"/>
          <a:ext cx="5852160" cy="339852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609599</xdr:colOff>
      <xdr:row>5</xdr:row>
      <xdr:rowOff>0</xdr:rowOff>
    </xdr:from>
    <xdr:to>
      <xdr:col>22</xdr:col>
      <xdr:colOff>500184</xdr:colOff>
      <xdr:row>26</xdr:row>
      <xdr:rowOff>190500</xdr:rowOff>
    </xdr:to>
    <xdr:pic>
      <xdr:nvPicPr>
        <xdr:cNvPr id="5" name="Picture 4">
          <a:extLst>
            <a:ext uri="{FF2B5EF4-FFF2-40B4-BE49-F238E27FC236}">
              <a16:creationId xmlns:a16="http://schemas.microsoft.com/office/drawing/2014/main" id="{E5448C55-04DB-4131-88F5-F5669E00C2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1999" y="731520"/>
          <a:ext cx="8424985" cy="4358640"/>
        </a:xfrm>
        <a:prstGeom prst="rect">
          <a:avLst/>
        </a:prstGeom>
      </xdr:spPr>
    </xdr:pic>
    <xdr:clientData/>
  </xdr:twoCellAnchor>
  <xdr:twoCellAnchor editAs="oneCell">
    <xdr:from>
      <xdr:col>23</xdr:col>
      <xdr:colOff>0</xdr:colOff>
      <xdr:row>4</xdr:row>
      <xdr:rowOff>0</xdr:rowOff>
    </xdr:from>
    <xdr:to>
      <xdr:col>33</xdr:col>
      <xdr:colOff>95250</xdr:colOff>
      <xdr:row>26</xdr:row>
      <xdr:rowOff>120015</xdr:rowOff>
    </xdr:to>
    <xdr:pic>
      <xdr:nvPicPr>
        <xdr:cNvPr id="8" name="Picture 7">
          <a:extLst>
            <a:ext uri="{FF2B5EF4-FFF2-40B4-BE49-F238E27FC236}">
              <a16:creationId xmlns:a16="http://schemas.microsoft.com/office/drawing/2014/main" id="{DDB6AA77-AA64-41BE-8893-129A811E92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26400" y="548640"/>
          <a:ext cx="6191250" cy="4486275"/>
        </a:xfrm>
        <a:prstGeom prst="rect">
          <a:avLst/>
        </a:prstGeom>
      </xdr:spPr>
    </xdr:pic>
    <xdr:clientData/>
  </xdr:twoCellAnchor>
  <xdr:twoCellAnchor editAs="oneCell">
    <xdr:from>
      <xdr:col>34</xdr:col>
      <xdr:colOff>0</xdr:colOff>
      <xdr:row>4</xdr:row>
      <xdr:rowOff>0</xdr:rowOff>
    </xdr:from>
    <xdr:to>
      <xdr:col>46</xdr:col>
      <xdr:colOff>304800</xdr:colOff>
      <xdr:row>37</xdr:row>
      <xdr:rowOff>20320</xdr:rowOff>
    </xdr:to>
    <xdr:pic>
      <xdr:nvPicPr>
        <xdr:cNvPr id="9" name="Picture 8">
          <a:extLst>
            <a:ext uri="{FF2B5EF4-FFF2-40B4-BE49-F238E27FC236}">
              <a16:creationId xmlns:a16="http://schemas.microsoft.com/office/drawing/2014/main" id="{8631DBE7-5F8B-4245-AB0F-301A2985BB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726400" y="548640"/>
          <a:ext cx="7620000" cy="6565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k-Ray/Documents/_Daily%20Use/M-Systems%20-%20Quick%20Summaries/Angel%20Theory%20Spreadsheet%20&#8211;%20THE%20GDP%20GAME%20&#8211;%20Sienna%20Equilibrium%20&#8211;%20After%20error,%20with%20Equilibrium%20FIXED%20-%201.21%20(12th%20March%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P%20Super%20Coupling%201.01%20-%20Spread%20sheet%20-%2067%20years%20%20-%201.07%20(17th%20Nov%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 Sienna Equilibrium (1.05)"/>
      <sheetName val="Super Coupling 1.02"/>
      <sheetName val="TWF UCS-MZ™ Ťenders"/>
      <sheetName val="368 tenders"/>
      <sheetName val="The Sienna Equilibrium (1.06)"/>
      <sheetName val="RES Final Output"/>
      <sheetName val="POP Dimensions"/>
      <sheetName val="RES E Score from TWF 2012 "/>
      <sheetName val="S-World UCS™ Software 1.01"/>
      <sheetName val="How Many S-World Companies 2.0"/>
      <sheetName val="2024 - RES 1 SPIN-8 Tax 95% "/>
      <sheetName val=" (R) Revenue Not from Bonds"/>
      <sheetName val="2036 - RES-13 Target Achieved"/>
      <sheetName val="2037 - RES-14 Bonds Repay 1"/>
      <sheetName val="OLD RES"/>
      <sheetName val="How Many S-World Companies"/>
      <sheetName val="Audacious Project Revenue"/>
      <sheetName val="Solar in Malawi"/>
      <sheetName val="US Audacious Projects Owners"/>
      <sheetName val="64 Grand Networks"/>
      <sheetName val="END OF Dr Peet Presentation"/>
      <sheetName val="Per Capita GDP"/>
      <sheetName val="2018 to 2027"/>
      <sheetName val="1st Year S-World Bond &amp; Tenders"/>
      <sheetName val="Spartain Mortgage Cost"/>
      <sheetName val="Bill Gates Time is Worth"/>
      <sheetName val="How Many UCS Companies"/>
      <sheetName val="1.5T = Macroeconomic Threshold "/>
      <sheetName val="16 Years of Malwai GDP"/>
      <sheetName val="Global GDP in 2080"/>
      <sheetName val="Old - Abject Safe Bonds (GDP)"/>
      <sheetName val="Car Factory"/>
      <sheetName val="Property Prices"/>
      <sheetName val="Old RES V1 (2024)"/>
    </sheetNames>
    <sheetDataSet>
      <sheetData sheetId="0" refreshError="1"/>
      <sheetData sheetId="1" refreshError="1"/>
      <sheetData sheetId="2" refreshError="1"/>
      <sheetData sheetId="3" refreshError="1"/>
      <sheetData sheetId="4" refreshError="1"/>
      <sheetData sheetId="5" refreshError="1"/>
      <sheetData sheetId="6">
        <row r="15">
          <cell r="H15">
            <v>10737418.24</v>
          </cell>
        </row>
        <row r="17">
          <cell r="L17">
            <v>2748779069.4400001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s 1 to 64"/>
      <sheetName val="POP Dimensions"/>
      <sheetName val="GDP in 2080 @ 3% inflation"/>
      <sheetName val="gs Values"/>
      <sheetName val="POP POINT 0.01 (2)"/>
      <sheetName val="Years 1 to 64 (1 Co per Year)"/>
    </sheetNames>
    <sheetDataSet>
      <sheetData sheetId="0"/>
      <sheetData sheetId="1">
        <row r="13">
          <cell r="C13">
            <v>167772.16</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D1E1-25B8-4D20-BACC-FA0C48A32A66}">
  <dimension ref="A2:BY106"/>
  <sheetViews>
    <sheetView showGridLines="0" tabSelected="1" topLeftCell="BJ33" workbookViewId="0">
      <selection activeCell="AT36" sqref="AT36"/>
    </sheetView>
  </sheetViews>
  <sheetFormatPr defaultColWidth="8.88671875" defaultRowHeight="15.6" x14ac:dyDescent="0.3"/>
  <cols>
    <col min="1" max="1" width="5.88671875" style="1" customWidth="1"/>
    <col min="2" max="2" width="22.33203125" style="1" customWidth="1"/>
    <col min="3" max="3" width="21.33203125" style="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90" customWidth="1"/>
    <col min="75" max="75" width="8.88671875" style="12"/>
    <col min="76" max="76" width="8.88671875" style="1"/>
    <col min="77" max="77" width="17.44140625" style="1" bestFit="1" customWidth="1"/>
    <col min="78" max="16384" width="8.88671875" style="1"/>
  </cols>
  <sheetData>
    <row r="2" spans="1:75"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G2" s="916"/>
      <c r="BK2" s="916"/>
      <c r="BV2" s="917"/>
      <c r="BW2" s="916"/>
    </row>
    <row r="3" spans="1:75" ht="25.95" customHeight="1" x14ac:dyDescent="0.5">
      <c r="C3" s="570" t="s">
        <v>1446</v>
      </c>
      <c r="F3" s="1081"/>
      <c r="G3" s="648"/>
      <c r="AN3" s="999" t="s">
        <v>1355</v>
      </c>
      <c r="AP3" s="236">
        <f>AM4*AP4</f>
        <v>14937</v>
      </c>
    </row>
    <row r="4" spans="1:75" ht="15.6" customHeight="1" x14ac:dyDescent="0.5">
      <c r="C4" s="570"/>
      <c r="D4" s="7"/>
      <c r="E4" s="7" t="s">
        <v>1292</v>
      </c>
      <c r="F4" s="1081"/>
      <c r="G4" s="632" t="s">
        <v>288</v>
      </c>
      <c r="H4" s="7"/>
      <c r="I4" s="632" t="s">
        <v>970</v>
      </c>
      <c r="J4" s="7"/>
      <c r="K4" s="7">
        <f>G5+K5</f>
        <v>5360119185.408</v>
      </c>
      <c r="L4" s="7"/>
      <c r="M4" s="632" t="s">
        <v>970</v>
      </c>
      <c r="N4" s="7"/>
      <c r="O4" s="7">
        <f>K4</f>
        <v>5360119185.408</v>
      </c>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1266">
        <v>2748</v>
      </c>
      <c r="AN4" s="236">
        <v>14937</v>
      </c>
      <c r="AO4" s="236"/>
      <c r="AP4" s="483">
        <f>AN4/AM4</f>
        <v>5.4355895196506552</v>
      </c>
    </row>
    <row r="5" spans="1:75" ht="18.600000000000001" x14ac:dyDescent="0.45">
      <c r="C5" s="37" t="s">
        <v>972</v>
      </c>
      <c r="D5" s="619"/>
      <c r="E5" s="408">
        <f>E11</f>
        <v>2748779069.4400001</v>
      </c>
      <c r="F5" s="1082">
        <v>1</v>
      </c>
      <c r="G5" s="408">
        <f>E5*F5</f>
        <v>2748779069.4400001</v>
      </c>
      <c r="H5" s="409">
        <v>0.95</v>
      </c>
      <c r="I5" s="408">
        <f>G5*H5</f>
        <v>2611340115.9679999</v>
      </c>
      <c r="J5" s="409">
        <v>1</v>
      </c>
      <c r="K5" s="408">
        <f>I5*J5</f>
        <v>2611340115.9679999</v>
      </c>
      <c r="L5" s="409">
        <f>H5</f>
        <v>0.95</v>
      </c>
      <c r="M5" s="408">
        <f>K5*L5</f>
        <v>2480773110.1696</v>
      </c>
      <c r="N5" s="409">
        <f>J5</f>
        <v>1</v>
      </c>
      <c r="O5" s="408">
        <f>M5*N5</f>
        <v>2480773110.1696</v>
      </c>
      <c r="P5" s="409">
        <f>L5</f>
        <v>0.95</v>
      </c>
      <c r="Q5" s="408">
        <f>O5*P5</f>
        <v>2356734454.6611199</v>
      </c>
      <c r="R5" s="409">
        <f>N5</f>
        <v>1</v>
      </c>
      <c r="S5" s="408">
        <f>Q5*R5</f>
        <v>2356734454.6611199</v>
      </c>
      <c r="T5" s="409">
        <f>P5</f>
        <v>0.95</v>
      </c>
      <c r="U5" s="408">
        <f>S5*T5</f>
        <v>2238897731.9280639</v>
      </c>
      <c r="V5" s="409">
        <f>R5</f>
        <v>1</v>
      </c>
      <c r="W5" s="408">
        <f>U5*V5</f>
        <v>2238897731.9280639</v>
      </c>
      <c r="X5" s="409">
        <f>T5</f>
        <v>0.95</v>
      </c>
      <c r="Y5" s="408">
        <f>W5*X5</f>
        <v>2126952845.3316605</v>
      </c>
      <c r="Z5" s="409">
        <f>V5</f>
        <v>1</v>
      </c>
      <c r="AA5" s="408">
        <f>Y5*Z5</f>
        <v>2126952845.3316605</v>
      </c>
      <c r="AB5" s="409">
        <f>X5</f>
        <v>0.95</v>
      </c>
      <c r="AC5" s="408">
        <f>AA5*AB5</f>
        <v>2020605203.0650773</v>
      </c>
      <c r="AD5" s="409">
        <f>Z5</f>
        <v>1</v>
      </c>
      <c r="AE5" s="408">
        <f>AC5*AD5</f>
        <v>2020605203.0650773</v>
      </c>
      <c r="AF5" s="409">
        <f>AB5</f>
        <v>0.95</v>
      </c>
      <c r="AG5" s="408">
        <f>AE5*AF5</f>
        <v>1919574942.9118233</v>
      </c>
      <c r="AH5" s="409">
        <f>AD5</f>
        <v>1</v>
      </c>
      <c r="AI5" s="408">
        <f>AG5*AH5</f>
        <v>1919574942.9118233</v>
      </c>
      <c r="AJ5" s="409">
        <f>AF5</f>
        <v>0.95</v>
      </c>
      <c r="AK5" s="408">
        <f>AI5*AJ5</f>
        <v>1823596195.766232</v>
      </c>
      <c r="AL5" s="409">
        <f>AH5</f>
        <v>1</v>
      </c>
      <c r="AM5" s="408">
        <f>AK5*AL5</f>
        <v>1823596195.766232</v>
      </c>
      <c r="AN5" s="719">
        <f>G5+I5+M5+Q5+U5+Y5+AC5+AG5+AK5</f>
        <v>20327253669.241577</v>
      </c>
      <c r="AP5" s="621">
        <f>AJ5</f>
        <v>0.95</v>
      </c>
      <c r="AQ5" s="622">
        <f>AM5*AP5</f>
        <v>1732416385.9779203</v>
      </c>
      <c r="AR5" s="626"/>
      <c r="AS5" s="626"/>
      <c r="AT5" s="627"/>
    </row>
    <row r="6" spans="1:75" x14ac:dyDescent="0.3">
      <c r="F6" s="1081"/>
      <c r="O6" s="1">
        <f>O4+O5</f>
        <v>7840892295.5776005</v>
      </c>
      <c r="AN6" s="93"/>
      <c r="AT6" s="628"/>
    </row>
    <row r="7" spans="1:75" x14ac:dyDescent="0.3">
      <c r="B7" s="583"/>
      <c r="C7" s="4"/>
      <c r="D7" s="4"/>
      <c r="E7" s="120" t="s">
        <v>900</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462" t="s">
        <v>749</v>
      </c>
      <c r="AG7" s="170" t="s">
        <v>1379</v>
      </c>
      <c r="AH7" s="175" t="s">
        <v>297</v>
      </c>
      <c r="AI7" s="170" t="s">
        <v>59</v>
      </c>
      <c r="AJ7" s="301" t="s">
        <v>749</v>
      </c>
      <c r="AK7" s="121" t="s">
        <v>1380</v>
      </c>
      <c r="AL7" s="173" t="s">
        <v>297</v>
      </c>
      <c r="AM7" s="121" t="s">
        <v>59</v>
      </c>
      <c r="AN7" s="121" t="s">
        <v>1381</v>
      </c>
      <c r="AP7" s="588" t="s">
        <v>1367</v>
      </c>
      <c r="AQ7" s="121" t="s">
        <v>1372</v>
      </c>
      <c r="AT7" s="628"/>
    </row>
    <row r="8" spans="1:75" x14ac:dyDescent="0.3">
      <c r="B8" s="584"/>
      <c r="C8" s="7"/>
      <c r="E8" s="875">
        <f>'POP Dimensions'!J15</f>
        <v>21474836.48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586" t="s">
        <v>1371</v>
      </c>
      <c r="AG8" s="470"/>
      <c r="AH8" s="471"/>
      <c r="AI8" s="470"/>
      <c r="AJ8" s="587" t="s">
        <v>1371</v>
      </c>
      <c r="AK8" s="303"/>
      <c r="AL8" s="179"/>
      <c r="AM8" s="303"/>
      <c r="AN8" s="126"/>
      <c r="AP8" s="589" t="s">
        <v>1371</v>
      </c>
      <c r="AQ8" s="303"/>
      <c r="AT8" s="628"/>
    </row>
    <row r="9" spans="1:75" ht="16.2" thickBot="1" x14ac:dyDescent="0.35">
      <c r="B9" s="585" t="s">
        <v>943</v>
      </c>
      <c r="C9" s="1078">
        <v>8</v>
      </c>
      <c r="D9" s="630" t="s">
        <v>954</v>
      </c>
      <c r="E9" s="631">
        <f>E8</f>
        <v>21474836.48</v>
      </c>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122"/>
      <c r="AK9" s="459" t="s">
        <v>282</v>
      </c>
      <c r="AL9" s="122"/>
      <c r="AM9" s="8"/>
      <c r="AN9" s="126"/>
      <c r="AP9" s="122"/>
      <c r="AQ9" s="459" t="s">
        <v>282</v>
      </c>
      <c r="AT9" s="628"/>
    </row>
    <row r="10" spans="1:75" ht="16.2" thickBot="1" x14ac:dyDescent="0.35">
      <c r="B10" s="585" t="s">
        <v>944</v>
      </c>
      <c r="C10" s="938" t="s">
        <v>946</v>
      </c>
      <c r="D10" s="630" t="s">
        <v>953</v>
      </c>
      <c r="E10" s="994">
        <f>AO53</f>
        <v>256</v>
      </c>
      <c r="F10" s="1085">
        <v>0.25</v>
      </c>
      <c r="G10" s="130">
        <f>E14*F10</f>
        <v>503316.47999999998</v>
      </c>
      <c r="H10" s="460">
        <v>0.95</v>
      </c>
      <c r="I10" s="130">
        <f>G10*H10</f>
        <v>478150.65599999996</v>
      </c>
      <c r="J10" s="460">
        <v>1</v>
      </c>
      <c r="K10" s="458">
        <f>I10*J10</f>
        <v>478150.65599999996</v>
      </c>
      <c r="L10" s="129">
        <f>H10</f>
        <v>0.95</v>
      </c>
      <c r="M10" s="458">
        <f>K10*L10</f>
        <v>454243.12319999991</v>
      </c>
      <c r="N10" s="129">
        <f>J10</f>
        <v>1</v>
      </c>
      <c r="O10" s="458">
        <f>M10*N10</f>
        <v>454243.12319999991</v>
      </c>
      <c r="P10" s="129">
        <f>L10</f>
        <v>0.95</v>
      </c>
      <c r="Q10" s="458">
        <f>O10*P10</f>
        <v>431530.9670399999</v>
      </c>
      <c r="R10" s="129">
        <f>N10</f>
        <v>1</v>
      </c>
      <c r="S10" s="458">
        <f>Q10*R10</f>
        <v>431530.9670399999</v>
      </c>
      <c r="T10" s="129">
        <f>P10</f>
        <v>0.95</v>
      </c>
      <c r="U10" s="458">
        <f>S10*T10</f>
        <v>409954.41868799989</v>
      </c>
      <c r="V10" s="129">
        <f>R10</f>
        <v>1</v>
      </c>
      <c r="W10" s="458">
        <f>U10*V10</f>
        <v>409954.41868799989</v>
      </c>
      <c r="X10" s="129">
        <f>T10</f>
        <v>0.95</v>
      </c>
      <c r="Y10" s="458">
        <f>W10*X10</f>
        <v>389456.6977535999</v>
      </c>
      <c r="Z10" s="129">
        <f>V10</f>
        <v>1</v>
      </c>
      <c r="AA10" s="458">
        <f>Y10*Z10</f>
        <v>389456.6977535999</v>
      </c>
      <c r="AB10" s="129">
        <f>X10</f>
        <v>0.95</v>
      </c>
      <c r="AC10" s="458">
        <f>AA10*AB10</f>
        <v>369983.86286591989</v>
      </c>
      <c r="AD10" s="129">
        <f>Z10</f>
        <v>1</v>
      </c>
      <c r="AE10" s="458">
        <f>AC10*AD10</f>
        <v>369983.86286591989</v>
      </c>
      <c r="AF10" s="129">
        <f>AB10</f>
        <v>0.95</v>
      </c>
      <c r="AG10" s="458">
        <f>AE10*AF10</f>
        <v>351484.66972262389</v>
      </c>
      <c r="AH10" s="129">
        <f>AD10</f>
        <v>1</v>
      </c>
      <c r="AI10" s="458">
        <f>AG10*AH10</f>
        <v>351484.66972262389</v>
      </c>
      <c r="AJ10" s="129">
        <f>AF10</f>
        <v>0.95</v>
      </c>
      <c r="AK10" s="458">
        <f>AI10*AJ10</f>
        <v>333910.43623649271</v>
      </c>
      <c r="AL10" s="129">
        <f>AH10</f>
        <v>1</v>
      </c>
      <c r="AM10" s="458">
        <f>AK10*AL10</f>
        <v>333910.43623649271</v>
      </c>
      <c r="AN10" s="161">
        <f>G10+I10+M10+Q10+U10+Y10+AC10+AG10+AK10</f>
        <v>3722031.311506636</v>
      </c>
      <c r="AP10" s="590">
        <f>AJ10</f>
        <v>0.95</v>
      </c>
      <c r="AQ10" s="458">
        <f>AM10*AP10</f>
        <v>317214.91442466807</v>
      </c>
      <c r="AR10" s="623"/>
      <c r="AS10" s="624"/>
      <c r="AT10" s="628"/>
    </row>
    <row r="11" spans="1:75" ht="16.2" thickBot="1" x14ac:dyDescent="0.35">
      <c r="B11" s="585" t="s">
        <v>945</v>
      </c>
      <c r="C11" s="1078">
        <v>2024</v>
      </c>
      <c r="D11" s="630" t="s">
        <v>1291</v>
      </c>
      <c r="E11" s="631">
        <f>'POP Dimensions'!L17</f>
        <v>2748779069.4400001</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122"/>
      <c r="AK11" s="457" t="s">
        <v>283</v>
      </c>
      <c r="AL11" s="122"/>
      <c r="AM11" s="8"/>
      <c r="AN11" s="126"/>
      <c r="AP11" s="122"/>
      <c r="AQ11" s="457" t="s">
        <v>283</v>
      </c>
      <c r="AR11" s="623"/>
      <c r="AS11" s="623"/>
      <c r="AT11" s="628"/>
    </row>
    <row r="12" spans="1:75" ht="16.2" thickBot="1" x14ac:dyDescent="0.35">
      <c r="B12" s="584"/>
      <c r="E12" s="997">
        <f>E9*E10</f>
        <v>5497558138.8800001</v>
      </c>
      <c r="F12" s="1086">
        <v>0.25</v>
      </c>
      <c r="G12" s="135">
        <f>E14*F12</f>
        <v>503316.47999999998</v>
      </c>
      <c r="H12" s="461">
        <v>0.95</v>
      </c>
      <c r="I12" s="135">
        <f>G12*H12</f>
        <v>478150.65599999996</v>
      </c>
      <c r="J12" s="461">
        <v>1</v>
      </c>
      <c r="K12" s="440">
        <f>I12*J12</f>
        <v>478150.65599999996</v>
      </c>
      <c r="L12" s="133">
        <f>H12</f>
        <v>0.95</v>
      </c>
      <c r="M12" s="440">
        <f>K12*L12</f>
        <v>454243.12319999991</v>
      </c>
      <c r="N12" s="133">
        <f>J12</f>
        <v>1</v>
      </c>
      <c r="O12" s="440">
        <f>M12*N12</f>
        <v>454243.12319999991</v>
      </c>
      <c r="P12" s="133">
        <f>L12</f>
        <v>0.95</v>
      </c>
      <c r="Q12" s="440">
        <f>O12*P12</f>
        <v>431530.9670399999</v>
      </c>
      <c r="R12" s="133">
        <f>N12</f>
        <v>1</v>
      </c>
      <c r="S12" s="440">
        <f>Q12*R12</f>
        <v>431530.9670399999</v>
      </c>
      <c r="T12" s="133">
        <f>P12</f>
        <v>0.95</v>
      </c>
      <c r="U12" s="440">
        <f>S12*T12</f>
        <v>409954.41868799989</v>
      </c>
      <c r="V12" s="133">
        <f>R12</f>
        <v>1</v>
      </c>
      <c r="W12" s="440">
        <f>U12*V12</f>
        <v>409954.41868799989</v>
      </c>
      <c r="X12" s="133">
        <f>T12</f>
        <v>0.95</v>
      </c>
      <c r="Y12" s="440">
        <f>W12*X12</f>
        <v>389456.6977535999</v>
      </c>
      <c r="Z12" s="133">
        <f>V12</f>
        <v>1</v>
      </c>
      <c r="AA12" s="440">
        <f>Y12*Z12</f>
        <v>389456.6977535999</v>
      </c>
      <c r="AB12" s="133">
        <f>X12</f>
        <v>0.95</v>
      </c>
      <c r="AC12" s="440">
        <f>AA12*AB12</f>
        <v>369983.86286591989</v>
      </c>
      <c r="AD12" s="133">
        <f>Z12</f>
        <v>1</v>
      </c>
      <c r="AE12" s="440">
        <f>AC12*AD12</f>
        <v>369983.86286591989</v>
      </c>
      <c r="AF12" s="133">
        <f>AB12</f>
        <v>0.95</v>
      </c>
      <c r="AG12" s="440">
        <f>AE12*AF12</f>
        <v>351484.66972262389</v>
      </c>
      <c r="AH12" s="133">
        <f>AD12</f>
        <v>1</v>
      </c>
      <c r="AI12" s="440">
        <f>AG12*AH12</f>
        <v>351484.66972262389</v>
      </c>
      <c r="AJ12" s="133">
        <f>AF12</f>
        <v>0.95</v>
      </c>
      <c r="AK12" s="440">
        <f>AI12*AJ12</f>
        <v>333910.43623649271</v>
      </c>
      <c r="AL12" s="133">
        <f>AH12</f>
        <v>1</v>
      </c>
      <c r="AM12" s="440">
        <f>AK12*AL12</f>
        <v>333910.43623649271</v>
      </c>
      <c r="AN12" s="161">
        <f>G12+I12+M12+Q12+U12+Y12+AC12+AG12+AK12</f>
        <v>3722031.311506636</v>
      </c>
      <c r="AP12" s="591">
        <f>AJ12</f>
        <v>0.95</v>
      </c>
      <c r="AQ12" s="440">
        <f>AM12*AP12</f>
        <v>317214.91442466807</v>
      </c>
      <c r="AR12" s="623"/>
      <c r="AS12" s="624"/>
      <c r="AT12" s="628"/>
    </row>
    <row r="13" spans="1:75" ht="16.2" thickBot="1" x14ac:dyDescent="0.35">
      <c r="B13" s="613"/>
      <c r="C13" s="7"/>
      <c r="E13" s="997">
        <f>E12/2</f>
        <v>2748779069.4400001</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122"/>
      <c r="AK13" s="451" t="s">
        <v>284</v>
      </c>
      <c r="AL13" s="122"/>
      <c r="AM13" s="8"/>
      <c r="AN13" s="126"/>
      <c r="AP13" s="122"/>
      <c r="AQ13" s="451" t="s">
        <v>284</v>
      </c>
      <c r="AR13" s="623"/>
      <c r="AS13" s="623"/>
      <c r="AT13" s="628"/>
    </row>
    <row r="14" spans="1:75" ht="16.2" thickBot="1" x14ac:dyDescent="0.35">
      <c r="A14" s="162"/>
      <c r="B14" s="162"/>
      <c r="C14" s="137" t="s">
        <v>291</v>
      </c>
      <c r="D14" s="609">
        <f>E14/E8</f>
        <v>9.375E-2</v>
      </c>
      <c r="E14" s="139">
        <f>'UCS™ TWF Ťenders'!F97</f>
        <v>2013265.9199999999</v>
      </c>
      <c r="F14" s="1088">
        <v>0.5</v>
      </c>
      <c r="G14" s="139">
        <f>E14*F14</f>
        <v>1006632.96</v>
      </c>
      <c r="H14" s="463">
        <v>0.95</v>
      </c>
      <c r="I14" s="139">
        <f>G14*H14</f>
        <v>956301.31199999992</v>
      </c>
      <c r="J14" s="463">
        <v>1</v>
      </c>
      <c r="K14" s="441">
        <f>I14*J14</f>
        <v>956301.31199999992</v>
      </c>
      <c r="L14" s="140">
        <f>H14</f>
        <v>0.95</v>
      </c>
      <c r="M14" s="441">
        <f>K14*L14</f>
        <v>908486.24639999983</v>
      </c>
      <c r="N14" s="140">
        <f>J14</f>
        <v>1</v>
      </c>
      <c r="O14" s="441">
        <f>M14*N14</f>
        <v>908486.24639999983</v>
      </c>
      <c r="P14" s="140">
        <f>L14</f>
        <v>0.95</v>
      </c>
      <c r="Q14" s="441">
        <f>O14*P14</f>
        <v>863061.9340799998</v>
      </c>
      <c r="R14" s="140">
        <f>N14</f>
        <v>1</v>
      </c>
      <c r="S14" s="441">
        <f>Q14*R14</f>
        <v>863061.9340799998</v>
      </c>
      <c r="T14" s="140">
        <f>P14</f>
        <v>0.95</v>
      </c>
      <c r="U14" s="441">
        <f>S14*T14</f>
        <v>819908.83737599978</v>
      </c>
      <c r="V14" s="140">
        <f>R14</f>
        <v>1</v>
      </c>
      <c r="W14" s="441">
        <f>U14*V14</f>
        <v>819908.83737599978</v>
      </c>
      <c r="X14" s="140">
        <f>T14</f>
        <v>0.95</v>
      </c>
      <c r="Y14" s="441">
        <f>W14*X14</f>
        <v>778913.39550719981</v>
      </c>
      <c r="Z14" s="140">
        <f>V14</f>
        <v>1</v>
      </c>
      <c r="AA14" s="441">
        <f>Y14*Z14</f>
        <v>778913.39550719981</v>
      </c>
      <c r="AB14" s="140">
        <f>X14</f>
        <v>0.95</v>
      </c>
      <c r="AC14" s="441">
        <f>AA14*AB14</f>
        <v>739967.72573183978</v>
      </c>
      <c r="AD14" s="140">
        <f>Z14</f>
        <v>1</v>
      </c>
      <c r="AE14" s="441">
        <f>AC14*AD14</f>
        <v>739967.72573183978</v>
      </c>
      <c r="AF14" s="140">
        <f>AB14</f>
        <v>0.95</v>
      </c>
      <c r="AG14" s="441">
        <f>AE14*AF14</f>
        <v>702969.33944524778</v>
      </c>
      <c r="AH14" s="140">
        <f>AD14</f>
        <v>1</v>
      </c>
      <c r="AI14" s="441">
        <f>AG14*AH14</f>
        <v>702969.33944524778</v>
      </c>
      <c r="AJ14" s="140">
        <f>AF14</f>
        <v>0.95</v>
      </c>
      <c r="AK14" s="441">
        <f>AI14*AJ14</f>
        <v>667820.87247298541</v>
      </c>
      <c r="AL14" s="140">
        <f>AH14</f>
        <v>1</v>
      </c>
      <c r="AM14" s="441">
        <f>AK14*AL14</f>
        <v>667820.87247298541</v>
      </c>
      <c r="AN14" s="161">
        <f>G14+I14+M14+Q14+U14+Y14+AC14+AG14+AK14</f>
        <v>7444062.623013272</v>
      </c>
      <c r="AP14" s="592">
        <f>AJ14</f>
        <v>0.95</v>
      </c>
      <c r="AQ14" s="441">
        <f>AM14*AP14</f>
        <v>634429.82884933613</v>
      </c>
      <c r="AR14" s="623"/>
      <c r="AS14" s="624"/>
      <c r="AT14" s="628"/>
    </row>
    <row r="15" spans="1:75" x14ac:dyDescent="0.3">
      <c r="A15" s="18"/>
      <c r="B15" s="18"/>
      <c r="C15" s="141"/>
      <c r="D15" s="107"/>
      <c r="E15" s="1261">
        <v>5</v>
      </c>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23"/>
      <c r="AS15" s="623"/>
      <c r="AT15" s="628"/>
    </row>
    <row r="16" spans="1:75" s="88" customFormat="1" ht="16.2" thickBot="1" x14ac:dyDescent="0.35">
      <c r="A16" s="163"/>
      <c r="B16" s="163"/>
      <c r="C16" s="141"/>
      <c r="D16" s="107"/>
      <c r="E16" s="1262">
        <f>E8/E15</f>
        <v>4294967.2960000001</v>
      </c>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455"/>
      <c r="AK16" s="454" t="s">
        <v>744</v>
      </c>
      <c r="AL16" s="141"/>
      <c r="AM16" s="164"/>
      <c r="AN16" s="126"/>
      <c r="AP16" s="455"/>
      <c r="AQ16" s="454" t="s">
        <v>744</v>
      </c>
      <c r="AR16" s="625"/>
      <c r="AS16" s="625"/>
      <c r="AT16" s="628"/>
      <c r="BG16" s="233"/>
      <c r="BK16" s="233"/>
      <c r="BV16" s="345"/>
      <c r="BW16" s="233"/>
    </row>
    <row r="17" spans="1:77" ht="16.2" thickBot="1" x14ac:dyDescent="0.35">
      <c r="A17" s="18"/>
      <c r="B17" s="18"/>
      <c r="C17" s="397" t="s">
        <v>276</v>
      </c>
      <c r="D17" s="614">
        <f>100%-D14-D21</f>
        <v>0.63099980959668756</v>
      </c>
      <c r="E17" s="399">
        <f>E8*D17</f>
        <v>13550617.73</v>
      </c>
      <c r="F17" s="1090">
        <v>1</v>
      </c>
      <c r="G17" s="399">
        <f>E17*F17</f>
        <v>13550617.73</v>
      </c>
      <c r="H17" s="464">
        <v>0.95</v>
      </c>
      <c r="I17" s="399">
        <f>G17*H17</f>
        <v>12873086.843499999</v>
      </c>
      <c r="J17" s="464">
        <v>1</v>
      </c>
      <c r="K17" s="453">
        <f>I17*J17</f>
        <v>12873086.843499999</v>
      </c>
      <c r="L17" s="400">
        <f>H17</f>
        <v>0.95</v>
      </c>
      <c r="M17" s="453">
        <f>K17*L17</f>
        <v>12229432.501324998</v>
      </c>
      <c r="N17" s="400">
        <f>J17</f>
        <v>1</v>
      </c>
      <c r="O17" s="453">
        <f>M17*N17</f>
        <v>12229432.501324998</v>
      </c>
      <c r="P17" s="400">
        <f>L17</f>
        <v>0.95</v>
      </c>
      <c r="Q17" s="453">
        <f>O17*P17</f>
        <v>11617960.876258748</v>
      </c>
      <c r="R17" s="400">
        <f>N17</f>
        <v>1</v>
      </c>
      <c r="S17" s="453">
        <f>Q17*R17</f>
        <v>11617960.876258748</v>
      </c>
      <c r="T17" s="400">
        <f>P17</f>
        <v>0.95</v>
      </c>
      <c r="U17" s="453">
        <f>S17*T17</f>
        <v>11037062.83244581</v>
      </c>
      <c r="V17" s="400">
        <f>R17</f>
        <v>1</v>
      </c>
      <c r="W17" s="453">
        <f>U17*V17</f>
        <v>11037062.83244581</v>
      </c>
      <c r="X17" s="400">
        <f>T17</f>
        <v>0.95</v>
      </c>
      <c r="Y17" s="453">
        <f>W17*X17</f>
        <v>10485209.690823518</v>
      </c>
      <c r="Z17" s="400">
        <f>V17</f>
        <v>1</v>
      </c>
      <c r="AA17" s="453">
        <f>Y17*Z17</f>
        <v>10485209.690823518</v>
      </c>
      <c r="AB17" s="400">
        <f>X17</f>
        <v>0.95</v>
      </c>
      <c r="AC17" s="453">
        <f>AA17*AB17</f>
        <v>9960949.2062823419</v>
      </c>
      <c r="AD17" s="400">
        <f>Z17</f>
        <v>1</v>
      </c>
      <c r="AE17" s="453">
        <f>AC17*AD17</f>
        <v>9960949.2062823419</v>
      </c>
      <c r="AF17" s="400">
        <f>AB17</f>
        <v>0.95</v>
      </c>
      <c r="AG17" s="453">
        <f>AE17*AF17</f>
        <v>9462901.7459682245</v>
      </c>
      <c r="AH17" s="400">
        <f>AD17</f>
        <v>1</v>
      </c>
      <c r="AI17" s="453">
        <f>AG17*AH17</f>
        <v>9462901.7459682245</v>
      </c>
      <c r="AJ17" s="400">
        <f>AF17</f>
        <v>0.95</v>
      </c>
      <c r="AK17" s="453">
        <f>AI17*AJ17</f>
        <v>8989756.6586698126</v>
      </c>
      <c r="AL17" s="400">
        <f>AH17</f>
        <v>1</v>
      </c>
      <c r="AM17" s="453">
        <f>AK17*AL17</f>
        <v>8989756.6586698126</v>
      </c>
      <c r="AN17" s="161">
        <f>G17+I17+M17+Q17+U17+Y17+AC17+AG17+AK17</f>
        <v>100206978.08527346</v>
      </c>
      <c r="AP17" s="593">
        <f>AJ17</f>
        <v>0.95</v>
      </c>
      <c r="AQ17" s="453">
        <f>AM17*AP17</f>
        <v>8540268.8257363215</v>
      </c>
      <c r="AR17" s="623"/>
      <c r="AS17" s="624"/>
      <c r="AT17" s="628"/>
      <c r="BJ17" s="974" t="s">
        <v>872</v>
      </c>
      <c r="BL17" s="974" t="s">
        <v>872</v>
      </c>
      <c r="BO17" s="974" t="s">
        <v>872</v>
      </c>
    </row>
    <row r="18" spans="1:77"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23"/>
      <c r="AS18" s="623"/>
      <c r="AT18" s="628"/>
      <c r="BJ18" s="974" t="s">
        <v>5</v>
      </c>
      <c r="BL18" s="974" t="s">
        <v>7</v>
      </c>
      <c r="BO18" s="77" t="s">
        <v>968</v>
      </c>
    </row>
    <row r="19" spans="1:77"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23"/>
      <c r="AS19" s="623"/>
      <c r="AT19" s="628"/>
      <c r="AW19" s="473"/>
      <c r="AX19" s="473"/>
      <c r="AY19" s="473"/>
      <c r="AZ19" s="473"/>
      <c r="BA19" s="473"/>
      <c r="BB19" s="473"/>
      <c r="BC19" s="473"/>
      <c r="BD19" s="473"/>
      <c r="BE19" s="473"/>
      <c r="BF19" s="473"/>
      <c r="BG19" s="970"/>
      <c r="BH19" s="485"/>
      <c r="BI19" s="485"/>
      <c r="BJ19" s="485" t="s">
        <v>961</v>
      </c>
      <c r="BK19" s="485" t="s">
        <v>967</v>
      </c>
      <c r="BL19" s="485" t="s">
        <v>59</v>
      </c>
      <c r="BM19" s="485" t="s">
        <v>1343</v>
      </c>
      <c r="BN19" s="485" t="s">
        <v>1344</v>
      </c>
      <c r="BO19" s="485"/>
      <c r="BP19" s="473"/>
      <c r="BQ19" s="485" t="s">
        <v>966</v>
      </c>
      <c r="BR19" s="485" t="s">
        <v>974</v>
      </c>
      <c r="BS19" s="485" t="s">
        <v>965</v>
      </c>
      <c r="BT19" s="485" t="s">
        <v>965</v>
      </c>
      <c r="BU19" s="485" t="s">
        <v>1345</v>
      </c>
      <c r="BV19" s="305" t="s">
        <v>1286</v>
      </c>
      <c r="BW19" s="304"/>
    </row>
    <row r="20" spans="1:77"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122"/>
      <c r="AK20" s="450" t="s">
        <v>285</v>
      </c>
      <c r="AL20" s="122"/>
      <c r="AM20" s="8"/>
      <c r="AN20" s="126"/>
      <c r="AP20" s="122"/>
      <c r="AQ20" s="450" t="s">
        <v>285</v>
      </c>
      <c r="AR20" s="623"/>
      <c r="AS20" s="623"/>
      <c r="AT20" s="628"/>
      <c r="AW20" s="473"/>
      <c r="AX20" s="473"/>
      <c r="AY20" s="473"/>
      <c r="AZ20" s="473"/>
      <c r="BA20" s="473"/>
      <c r="BB20" s="473"/>
      <c r="BC20" s="473"/>
      <c r="BD20" s="473"/>
      <c r="BE20" s="473"/>
      <c r="BF20" s="473"/>
      <c r="BG20" s="970"/>
      <c r="BH20" s="485"/>
      <c r="BI20" s="485"/>
      <c r="BJ20" s="971">
        <f>'POP Dimensions'!C15</f>
        <v>10737418.24</v>
      </c>
      <c r="BK20" s="954">
        <v>64</v>
      </c>
      <c r="BL20" s="972">
        <f>BK20*BJ20</f>
        <v>687194767.36000001</v>
      </c>
      <c r="BM20" s="954">
        <v>16</v>
      </c>
      <c r="BN20" s="954"/>
      <c r="BO20" s="971">
        <f>BL20*BM20</f>
        <v>10995116277.76</v>
      </c>
      <c r="BP20" s="473"/>
      <c r="BQ20" s="485" t="s">
        <v>785</v>
      </c>
      <c r="BR20" s="485"/>
      <c r="BS20" s="485" t="s">
        <v>962</v>
      </c>
      <c r="BT20" s="485" t="s">
        <v>1341</v>
      </c>
      <c r="BU20" s="485" t="s">
        <v>1342</v>
      </c>
      <c r="BV20" s="305"/>
      <c r="BW20" s="304"/>
    </row>
    <row r="21" spans="1:77" ht="16.2" thickBot="1" x14ac:dyDescent="0.35">
      <c r="C21" s="149" t="s">
        <v>737</v>
      </c>
      <c r="D21" s="610">
        <f>E21/E8</f>
        <v>0.27525019040331244</v>
      </c>
      <c r="E21" s="151">
        <f>'UCS™ TWF Ťenders'!D131</f>
        <v>5910952.8300000001</v>
      </c>
      <c r="F21" s="1092">
        <v>0.3</v>
      </c>
      <c r="G21" s="151">
        <f>E21*F21</f>
        <v>1773285.8489999999</v>
      </c>
      <c r="H21" s="465">
        <v>0.95</v>
      </c>
      <c r="I21" s="151">
        <f>G21*H21</f>
        <v>1684621.5565499999</v>
      </c>
      <c r="J21" s="465">
        <v>1</v>
      </c>
      <c r="K21" s="444">
        <f>I21*J21</f>
        <v>1684621.5565499999</v>
      </c>
      <c r="L21" s="152">
        <f>H21</f>
        <v>0.95</v>
      </c>
      <c r="M21" s="444">
        <f>K21*L21</f>
        <v>1600390.4787224997</v>
      </c>
      <c r="N21" s="152">
        <f>J21</f>
        <v>1</v>
      </c>
      <c r="O21" s="444">
        <f>M21*N21</f>
        <v>1600390.4787224997</v>
      </c>
      <c r="P21" s="152">
        <f>L21</f>
        <v>0.95</v>
      </c>
      <c r="Q21" s="444">
        <f>O21*P21</f>
        <v>1520370.9547863747</v>
      </c>
      <c r="R21" s="152">
        <f>N21</f>
        <v>1</v>
      </c>
      <c r="S21" s="444">
        <f>Q21*R21</f>
        <v>1520370.9547863747</v>
      </c>
      <c r="T21" s="152">
        <f>P21</f>
        <v>0.95</v>
      </c>
      <c r="U21" s="444">
        <f>S21*T21</f>
        <v>1444352.4070470559</v>
      </c>
      <c r="V21" s="152">
        <f>R21</f>
        <v>1</v>
      </c>
      <c r="W21" s="444">
        <f>U21*V21</f>
        <v>1444352.4070470559</v>
      </c>
      <c r="X21" s="152">
        <f>T21</f>
        <v>0.95</v>
      </c>
      <c r="Y21" s="444">
        <f>W21*X21</f>
        <v>1372134.7866947029</v>
      </c>
      <c r="Z21" s="152">
        <f>V21</f>
        <v>1</v>
      </c>
      <c r="AA21" s="444">
        <f>Y21*Z21</f>
        <v>1372134.7866947029</v>
      </c>
      <c r="AB21" s="152">
        <f>X21</f>
        <v>0.95</v>
      </c>
      <c r="AC21" s="444">
        <f>AA21*AB21</f>
        <v>1303528.0473599676</v>
      </c>
      <c r="AD21" s="152">
        <f>Z21</f>
        <v>1</v>
      </c>
      <c r="AE21" s="444">
        <f>AC21*AD21</f>
        <v>1303528.0473599676</v>
      </c>
      <c r="AF21" s="152">
        <f>AB21</f>
        <v>0.95</v>
      </c>
      <c r="AG21" s="444">
        <f>AE21*AF21</f>
        <v>1238351.6449919692</v>
      </c>
      <c r="AH21" s="152">
        <f>AD21</f>
        <v>1</v>
      </c>
      <c r="AI21" s="444">
        <f>AG21*AH21</f>
        <v>1238351.6449919692</v>
      </c>
      <c r="AJ21" s="152">
        <f>AF21</f>
        <v>0.95</v>
      </c>
      <c r="AK21" s="444">
        <f>AI21*AJ21</f>
        <v>1176434.0627423706</v>
      </c>
      <c r="AL21" s="152">
        <f>AH21</f>
        <v>1</v>
      </c>
      <c r="AM21" s="444">
        <f>AK21*AL21</f>
        <v>1176434.0627423706</v>
      </c>
      <c r="AN21" s="161">
        <f>G21+I21+M21+Q21+U21+Y21+AC21+AG21+AK21</f>
        <v>13113469.787894942</v>
      </c>
      <c r="AP21" s="594">
        <f>AJ21</f>
        <v>0.95</v>
      </c>
      <c r="AQ21" s="444">
        <f>AM21*AP21</f>
        <v>1117612.359605252</v>
      </c>
      <c r="AR21" s="623"/>
      <c r="AS21" s="624"/>
      <c r="AT21" s="628"/>
      <c r="AW21" s="473"/>
      <c r="BM21" s="976"/>
      <c r="BN21" s="976"/>
      <c r="BW21" s="913"/>
    </row>
    <row r="22" spans="1:77"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437"/>
      <c r="AK22" s="449" t="s">
        <v>738</v>
      </c>
      <c r="AL22" s="433"/>
      <c r="AM22" s="434"/>
      <c r="AN22" s="180"/>
      <c r="AP22" s="437"/>
      <c r="AQ22" s="449" t="s">
        <v>738</v>
      </c>
      <c r="AR22" s="623"/>
      <c r="AS22" s="623"/>
      <c r="AT22" s="628"/>
      <c r="AW22" s="473"/>
      <c r="BD22" s="1" t="s">
        <v>955</v>
      </c>
      <c r="BH22" s="581" t="s">
        <v>964</v>
      </c>
      <c r="BI22" s="75"/>
      <c r="BJ22" s="75"/>
      <c r="BK22" s="986"/>
      <c r="BL22" s="896"/>
      <c r="BM22" s="980"/>
      <c r="BN22" s="980"/>
      <c r="BO22" s="75"/>
      <c r="BQ22" s="75"/>
      <c r="BR22" s="76"/>
      <c r="BS22" s="75"/>
      <c r="BT22" s="76">
        <f>BT31</f>
        <v>1372242051.072</v>
      </c>
      <c r="BU22" s="75"/>
      <c r="BV22" s="910"/>
      <c r="BW22" s="304"/>
    </row>
    <row r="23" spans="1:77" ht="16.2" thickBot="1" x14ac:dyDescent="0.35">
      <c r="C23" s="141"/>
      <c r="D23" s="94">
        <f>SUM(D14:D21)</f>
        <v>1</v>
      </c>
      <c r="E23" s="371"/>
      <c r="F23" s="1093">
        <v>0.25</v>
      </c>
      <c r="G23" s="432">
        <f>E21*F23</f>
        <v>1477738.2075</v>
      </c>
      <c r="H23" s="466">
        <v>0.95</v>
      </c>
      <c r="I23" s="432">
        <f>G23*H23</f>
        <v>1403851.297125</v>
      </c>
      <c r="J23" s="466">
        <v>1</v>
      </c>
      <c r="K23" s="449">
        <f>I23*J23</f>
        <v>1403851.297125</v>
      </c>
      <c r="L23" s="430">
        <f>H23</f>
        <v>0.95</v>
      </c>
      <c r="M23" s="449">
        <f>K23*L23</f>
        <v>1333658.73226875</v>
      </c>
      <c r="N23" s="430">
        <f>J23</f>
        <v>1</v>
      </c>
      <c r="O23" s="449">
        <f>M23*N23</f>
        <v>1333658.73226875</v>
      </c>
      <c r="P23" s="430">
        <f>L23</f>
        <v>0.95</v>
      </c>
      <c r="Q23" s="449">
        <f>O23*P23</f>
        <v>1266975.7956553125</v>
      </c>
      <c r="R23" s="430">
        <f>N23</f>
        <v>1</v>
      </c>
      <c r="S23" s="449">
        <f>Q23*R23</f>
        <v>1266975.7956553125</v>
      </c>
      <c r="T23" s="430">
        <f>P23</f>
        <v>0.95</v>
      </c>
      <c r="U23" s="449">
        <f>S23*T23</f>
        <v>1203627.0058725467</v>
      </c>
      <c r="V23" s="430">
        <f>R23</f>
        <v>1</v>
      </c>
      <c r="W23" s="449">
        <f>U23*V23</f>
        <v>1203627.0058725467</v>
      </c>
      <c r="X23" s="430">
        <f>T23</f>
        <v>0.95</v>
      </c>
      <c r="Y23" s="449">
        <f>W23*X23</f>
        <v>1143445.6555789192</v>
      </c>
      <c r="Z23" s="430">
        <f>V23</f>
        <v>1</v>
      </c>
      <c r="AA23" s="449">
        <f>Y23*Z23</f>
        <v>1143445.6555789192</v>
      </c>
      <c r="AB23" s="430">
        <f>X23</f>
        <v>0.95</v>
      </c>
      <c r="AC23" s="449">
        <f>AA23*AB23</f>
        <v>1086273.3727999732</v>
      </c>
      <c r="AD23" s="430">
        <f>Z23</f>
        <v>1</v>
      </c>
      <c r="AE23" s="449">
        <f>AC23*AD23</f>
        <v>1086273.3727999732</v>
      </c>
      <c r="AF23" s="430">
        <f>AB23</f>
        <v>0.95</v>
      </c>
      <c r="AG23" s="449">
        <f>AE23*AF23</f>
        <v>1031959.7041599745</v>
      </c>
      <c r="AH23" s="430">
        <f>AD23</f>
        <v>1</v>
      </c>
      <c r="AI23" s="449">
        <f>AG23*AH23</f>
        <v>1031959.7041599745</v>
      </c>
      <c r="AJ23" s="430">
        <f>AF23</f>
        <v>0.95</v>
      </c>
      <c r="AK23" s="449">
        <f>AI23*AJ23</f>
        <v>980361.71895197569</v>
      </c>
      <c r="AL23" s="430">
        <f>AH23</f>
        <v>1</v>
      </c>
      <c r="AM23" s="449">
        <f>AK23*AL23</f>
        <v>980361.71895197569</v>
      </c>
      <c r="AN23" s="161">
        <f>G23+I23+M23+Q23+U23+Y23+AC23+AG23+AK23</f>
        <v>10927891.489912454</v>
      </c>
      <c r="AP23" s="595">
        <f>AJ23</f>
        <v>0.95</v>
      </c>
      <c r="AQ23" s="449">
        <f>AM23*AP23</f>
        <v>931343.6330043769</v>
      </c>
      <c r="AR23" s="623"/>
      <c r="AS23" s="624"/>
      <c r="AT23" s="628"/>
      <c r="AW23" s="473"/>
      <c r="BB23" s="982" t="s">
        <v>989</v>
      </c>
      <c r="BC23" s="983">
        <v>2016</v>
      </c>
      <c r="BD23" s="910">
        <v>75543543000000</v>
      </c>
      <c r="BE23" s="984">
        <v>2.5000000000000001E-2</v>
      </c>
      <c r="BF23" s="910">
        <f>BD23*BE23</f>
        <v>1888588575000</v>
      </c>
      <c r="BH23" s="75"/>
      <c r="BI23" s="968">
        <v>2016</v>
      </c>
      <c r="BJ23" s="305">
        <f>BJ20</f>
        <v>10737418.24</v>
      </c>
      <c r="BK23" s="986">
        <v>64</v>
      </c>
      <c r="BL23" s="411">
        <f t="shared" ref="BL23:BL35" si="0">BK23*BJ23</f>
        <v>687194767.36000001</v>
      </c>
      <c r="BM23" s="980"/>
      <c r="BN23" s="980"/>
      <c r="BO23" s="305">
        <f t="shared" ref="BO23:BO35" si="1">BL23*BM23</f>
        <v>0</v>
      </c>
      <c r="BQ23" s="75"/>
      <c r="BR23" s="76"/>
      <c r="BS23" s="75"/>
      <c r="BT23" s="953">
        <v>25000</v>
      </c>
      <c r="BU23" s="968" t="s">
        <v>1349</v>
      </c>
      <c r="BV23" s="910"/>
      <c r="BW23" s="981">
        <v>2016</v>
      </c>
    </row>
    <row r="24" spans="1:77"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122"/>
      <c r="AK24" s="448" t="s">
        <v>294</v>
      </c>
      <c r="AL24" s="122"/>
      <c r="AM24" s="8"/>
      <c r="AN24" s="126"/>
      <c r="AP24" s="122"/>
      <c r="AQ24" s="448" t="s">
        <v>294</v>
      </c>
      <c r="AR24" s="623"/>
      <c r="AS24" s="623"/>
      <c r="AT24" s="628"/>
      <c r="AW24" s="473"/>
      <c r="BB24" s="982" t="s">
        <v>989</v>
      </c>
      <c r="BC24" s="983">
        <f>BC23+1</f>
        <v>2017</v>
      </c>
      <c r="BD24" s="910">
        <f>BD23+BF23</f>
        <v>77432131575000</v>
      </c>
      <c r="BE24" s="985">
        <f>BE23</f>
        <v>2.5000000000000001E-2</v>
      </c>
      <c r="BF24" s="910">
        <f>BD24*BE24</f>
        <v>1935803289375</v>
      </c>
      <c r="BH24" s="75"/>
      <c r="BI24" s="968">
        <f>BI23+1</f>
        <v>2017</v>
      </c>
      <c r="BJ24" s="305">
        <f>BJ20</f>
        <v>10737418.24</v>
      </c>
      <c r="BK24" s="986">
        <v>64</v>
      </c>
      <c r="BL24" s="411">
        <f t="shared" si="0"/>
        <v>687194767.36000001</v>
      </c>
      <c r="BM24" s="980"/>
      <c r="BN24" s="980"/>
      <c r="BO24" s="305">
        <f t="shared" si="1"/>
        <v>0</v>
      </c>
      <c r="BQ24" s="75"/>
      <c r="BR24" s="76"/>
      <c r="BS24" s="75"/>
      <c r="BT24" s="76">
        <f>BT22/BT23</f>
        <v>54889.682042879998</v>
      </c>
      <c r="BU24" s="75"/>
      <c r="BV24" s="910"/>
      <c r="BW24" s="981">
        <f>BW23+1</f>
        <v>2017</v>
      </c>
    </row>
    <row r="25" spans="1:77" ht="16.2" thickBot="1" x14ac:dyDescent="0.35">
      <c r="C25" s="122"/>
      <c r="D25" s="573" t="s">
        <v>1367</v>
      </c>
      <c r="E25" s="7"/>
      <c r="F25" s="1094">
        <v>0.2</v>
      </c>
      <c r="G25" s="99">
        <f>E21*F25</f>
        <v>1182190.5660000001</v>
      </c>
      <c r="H25" s="467">
        <v>0.95</v>
      </c>
      <c r="I25" s="99">
        <f>G25*H25</f>
        <v>1123081.0377</v>
      </c>
      <c r="J25" s="467">
        <v>1</v>
      </c>
      <c r="K25" s="443">
        <f>I25*J25</f>
        <v>1123081.0377</v>
      </c>
      <c r="L25" s="153">
        <f>H25</f>
        <v>0.95</v>
      </c>
      <c r="M25" s="443">
        <f>K25*L25</f>
        <v>1066926.985815</v>
      </c>
      <c r="N25" s="153">
        <f>J25</f>
        <v>1</v>
      </c>
      <c r="O25" s="443">
        <f>M25*N25</f>
        <v>1066926.985815</v>
      </c>
      <c r="P25" s="153">
        <f>L25</f>
        <v>0.95</v>
      </c>
      <c r="Q25" s="443">
        <f>O25*P25</f>
        <v>1013580.6365242499</v>
      </c>
      <c r="R25" s="153">
        <f>N25</f>
        <v>1</v>
      </c>
      <c r="S25" s="443">
        <f>Q25*R25</f>
        <v>1013580.6365242499</v>
      </c>
      <c r="T25" s="153">
        <f>P25</f>
        <v>0.95</v>
      </c>
      <c r="U25" s="443">
        <f>S25*T25</f>
        <v>962901.60469803738</v>
      </c>
      <c r="V25" s="153">
        <f>R25</f>
        <v>1</v>
      </c>
      <c r="W25" s="443">
        <f>U25*V25</f>
        <v>962901.60469803738</v>
      </c>
      <c r="X25" s="153">
        <f>T25</f>
        <v>0.95</v>
      </c>
      <c r="Y25" s="443">
        <f>W25*X25</f>
        <v>914756.52446313552</v>
      </c>
      <c r="Z25" s="153">
        <f>V25</f>
        <v>1</v>
      </c>
      <c r="AA25" s="443">
        <f>Y25*Z25</f>
        <v>914756.52446313552</v>
      </c>
      <c r="AB25" s="153">
        <f>X25</f>
        <v>0.95</v>
      </c>
      <c r="AC25" s="443">
        <f>AA25*AB25</f>
        <v>869018.69823997875</v>
      </c>
      <c r="AD25" s="153">
        <f>Z25</f>
        <v>1</v>
      </c>
      <c r="AE25" s="443">
        <f>AC25*AD25</f>
        <v>869018.69823997875</v>
      </c>
      <c r="AF25" s="153">
        <f>AB25</f>
        <v>0.95</v>
      </c>
      <c r="AG25" s="443">
        <f>AE25*AF25</f>
        <v>825567.76332797983</v>
      </c>
      <c r="AH25" s="153">
        <f>AD25</f>
        <v>1</v>
      </c>
      <c r="AI25" s="443">
        <f>AG25*AH25</f>
        <v>825567.76332797983</v>
      </c>
      <c r="AJ25" s="153">
        <f>AF25</f>
        <v>0.95</v>
      </c>
      <c r="AK25" s="443">
        <f>AI25*AJ25</f>
        <v>784289.37516158086</v>
      </c>
      <c r="AL25" s="153">
        <f>AH25</f>
        <v>1</v>
      </c>
      <c r="AM25" s="443">
        <f>AK25*AL25</f>
        <v>784289.37516158086</v>
      </c>
      <c r="AN25" s="161">
        <f>G25+I25+M25+Q25+U25+Y25+AC25+AG25+AK25</f>
        <v>8742313.1919299625</v>
      </c>
      <c r="AP25" s="596">
        <f>AJ25</f>
        <v>0.95</v>
      </c>
      <c r="AQ25" s="443">
        <f>AM25*AP25</f>
        <v>745074.90640350175</v>
      </c>
      <c r="AR25" s="623"/>
      <c r="AS25" s="624"/>
      <c r="AT25" s="1519" t="s">
        <v>1676</v>
      </c>
      <c r="AW25" s="473"/>
      <c r="BB25" s="982" t="s">
        <v>989</v>
      </c>
      <c r="BC25" s="983">
        <f t="shared" ref="BC25:BC35" si="2">BC24+1</f>
        <v>2018</v>
      </c>
      <c r="BD25" s="910">
        <f t="shared" ref="BD25:BD35" si="3">BD24+BF24</f>
        <v>79367934864375</v>
      </c>
      <c r="BE25" s="985">
        <f t="shared" ref="BE25:BE35" si="4">BE24</f>
        <v>2.5000000000000001E-2</v>
      </c>
      <c r="BF25" s="910">
        <f t="shared" ref="BF25:BF35" si="5">BD25*BE25</f>
        <v>1984198371609.375</v>
      </c>
      <c r="BH25" s="75"/>
      <c r="BI25" s="968">
        <f t="shared" ref="BI25:BI35" si="6">BI24+1</f>
        <v>2018</v>
      </c>
      <c r="BJ25" s="305">
        <f>BJ20</f>
        <v>10737418.24</v>
      </c>
      <c r="BK25" s="986">
        <v>64</v>
      </c>
      <c r="BL25" s="411">
        <f t="shared" si="0"/>
        <v>687194767.36000001</v>
      </c>
      <c r="BM25" s="980">
        <v>2.5000000000000001E-2</v>
      </c>
      <c r="BN25" s="980"/>
      <c r="BO25" s="305">
        <f t="shared" si="1"/>
        <v>17179869.184</v>
      </c>
      <c r="BP25" s="978" t="s">
        <v>1144</v>
      </c>
      <c r="BQ25" s="305">
        <f t="shared" ref="BQ25:BQ55" si="7">BO25</f>
        <v>17179869.184</v>
      </c>
      <c r="BR25" s="691">
        <f t="shared" ref="BR25:BR35" si="8">BQ25+BR24-BV25</f>
        <v>17179869.184</v>
      </c>
      <c r="BS25" s="893">
        <v>0.125</v>
      </c>
      <c r="BT25" s="973">
        <f>BR25*BS25</f>
        <v>2147483.648</v>
      </c>
      <c r="BU25" s="305">
        <f>AN58</f>
        <v>1964262597.5583341</v>
      </c>
      <c r="BV25" s="910">
        <f t="shared" ref="BV25:BV35" si="9">BL25*BN25</f>
        <v>0</v>
      </c>
      <c r="BW25" s="981">
        <f t="shared" ref="BW25:BW55" si="10">BW24+1</f>
        <v>2018</v>
      </c>
    </row>
    <row r="26" spans="1:77"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126"/>
      <c r="AP26" s="122"/>
      <c r="AQ26" s="452" t="s">
        <v>733</v>
      </c>
      <c r="AR26" s="623"/>
      <c r="AS26" s="623"/>
      <c r="AT26" s="1519" t="s">
        <v>1678</v>
      </c>
      <c r="AW26" s="473"/>
      <c r="BB26" s="982" t="s">
        <v>989</v>
      </c>
      <c r="BC26" s="983">
        <f t="shared" si="2"/>
        <v>2019</v>
      </c>
      <c r="BD26" s="910">
        <f t="shared" si="3"/>
        <v>81352133235984.375</v>
      </c>
      <c r="BE26" s="985">
        <f t="shared" si="4"/>
        <v>2.5000000000000001E-2</v>
      </c>
      <c r="BF26" s="910">
        <f t="shared" si="5"/>
        <v>2033803330899.6094</v>
      </c>
      <c r="BH26" s="75"/>
      <c r="BI26" s="968">
        <f t="shared" si="6"/>
        <v>2019</v>
      </c>
      <c r="BJ26" s="305">
        <f>BJ20</f>
        <v>10737418.24</v>
      </c>
      <c r="BK26" s="986">
        <v>64</v>
      </c>
      <c r="BL26" s="411">
        <f t="shared" si="0"/>
        <v>687194767.36000001</v>
      </c>
      <c r="BM26" s="980">
        <v>0.2</v>
      </c>
      <c r="BN26" s="980"/>
      <c r="BO26" s="305">
        <f t="shared" si="1"/>
        <v>137438953.472</v>
      </c>
      <c r="BP26" s="978" t="s">
        <v>1144</v>
      </c>
      <c r="BQ26" s="305">
        <f t="shared" si="7"/>
        <v>137438953.472</v>
      </c>
      <c r="BR26" s="691">
        <f t="shared" si="8"/>
        <v>154618822.65600002</v>
      </c>
      <c r="BS26" s="893">
        <f>BS25</f>
        <v>0.125</v>
      </c>
      <c r="BT26" s="973">
        <f t="shared" ref="BT26:BT55" si="11">BR26*BS26</f>
        <v>19327352.832000002</v>
      </c>
      <c r="BU26" s="305">
        <f>BU25</f>
        <v>1964262597.5583341</v>
      </c>
      <c r="BV26" s="910">
        <f t="shared" si="9"/>
        <v>0</v>
      </c>
      <c r="BW26" s="981">
        <f t="shared" si="10"/>
        <v>2019</v>
      </c>
    </row>
    <row r="27" spans="1:77" ht="19.2" thickBot="1" x14ac:dyDescent="0.5">
      <c r="C27" s="122"/>
      <c r="D27" s="574" t="s">
        <v>1369</v>
      </c>
      <c r="E27" s="7"/>
      <c r="F27" s="1096">
        <v>0.25</v>
      </c>
      <c r="G27" s="446">
        <f>E21*F27</f>
        <v>1477738.2075</v>
      </c>
      <c r="H27" s="447">
        <v>0</v>
      </c>
      <c r="I27" s="446">
        <f>G27*H27</f>
        <v>0</v>
      </c>
      <c r="J27" s="447">
        <v>1</v>
      </c>
      <c r="K27" s="439">
        <f>I27*J27</f>
        <v>0</v>
      </c>
      <c r="L27" s="438">
        <f>H27</f>
        <v>0</v>
      </c>
      <c r="M27" s="439">
        <f>K27*L27</f>
        <v>0</v>
      </c>
      <c r="N27" s="438">
        <f>J27</f>
        <v>1</v>
      </c>
      <c r="O27" s="439">
        <f>M27*N27</f>
        <v>0</v>
      </c>
      <c r="P27" s="438">
        <f>L27</f>
        <v>0</v>
      </c>
      <c r="Q27" s="439">
        <f>O27*P27</f>
        <v>0</v>
      </c>
      <c r="R27" s="438">
        <f>N27</f>
        <v>1</v>
      </c>
      <c r="S27" s="439">
        <f>Q27*R27</f>
        <v>0</v>
      </c>
      <c r="T27" s="438">
        <f>P27</f>
        <v>0</v>
      </c>
      <c r="U27" s="439">
        <f>S27*T27</f>
        <v>0</v>
      </c>
      <c r="V27" s="438">
        <f>R27</f>
        <v>1</v>
      </c>
      <c r="W27" s="439">
        <f>U27*V27</f>
        <v>0</v>
      </c>
      <c r="X27" s="438">
        <f>T27</f>
        <v>0</v>
      </c>
      <c r="Y27" s="439">
        <f>W27*X27</f>
        <v>0</v>
      </c>
      <c r="Z27" s="438">
        <f>V27</f>
        <v>1</v>
      </c>
      <c r="AA27" s="439">
        <f>Y27*Z27</f>
        <v>0</v>
      </c>
      <c r="AB27" s="438">
        <f>X27</f>
        <v>0</v>
      </c>
      <c r="AC27" s="439">
        <f>AA27*AB27</f>
        <v>0</v>
      </c>
      <c r="AD27" s="438">
        <f>Z27</f>
        <v>1</v>
      </c>
      <c r="AE27" s="439">
        <f>AC27*AD27</f>
        <v>0</v>
      </c>
      <c r="AF27" s="438">
        <f>AB27</f>
        <v>0</v>
      </c>
      <c r="AG27" s="439">
        <f>AE27*AF27</f>
        <v>0</v>
      </c>
      <c r="AH27" s="438">
        <f>AD27</f>
        <v>1</v>
      </c>
      <c r="AI27" s="439">
        <f>AG27*AH27</f>
        <v>0</v>
      </c>
      <c r="AJ27" s="438">
        <f>AF27</f>
        <v>0</v>
      </c>
      <c r="AK27" s="439">
        <f>AI27*AJ27</f>
        <v>0</v>
      </c>
      <c r="AL27" s="438">
        <f>AH27</f>
        <v>1</v>
      </c>
      <c r="AM27" s="439">
        <f>AK27*AL27</f>
        <v>0</v>
      </c>
      <c r="AN27" s="161">
        <f>G27+I27+M27+Q27+U27+Y27+AC27+AG27+AK27</f>
        <v>1477738.2075</v>
      </c>
      <c r="AP27" s="597">
        <f>AJ27</f>
        <v>0</v>
      </c>
      <c r="AQ27" s="439">
        <f>AM27*AP27</f>
        <v>0</v>
      </c>
      <c r="AR27" s="623"/>
      <c r="AS27" s="624"/>
      <c r="AT27" s="1519" t="s">
        <v>1677</v>
      </c>
      <c r="AW27" s="473"/>
      <c r="BB27" s="982" t="s">
        <v>989</v>
      </c>
      <c r="BC27" s="983">
        <f t="shared" si="2"/>
        <v>2020</v>
      </c>
      <c r="BD27" s="910">
        <f t="shared" si="3"/>
        <v>83385936566883.984</v>
      </c>
      <c r="BE27" s="985">
        <f t="shared" si="4"/>
        <v>2.5000000000000001E-2</v>
      </c>
      <c r="BF27" s="910">
        <f t="shared" si="5"/>
        <v>2084648414172.0996</v>
      </c>
      <c r="BG27" s="895" t="s">
        <v>1283</v>
      </c>
      <c r="BH27" s="75"/>
      <c r="BI27" s="968">
        <f t="shared" si="6"/>
        <v>2020</v>
      </c>
      <c r="BJ27" s="305">
        <f>BJ20</f>
        <v>10737418.24</v>
      </c>
      <c r="BK27" s="986">
        <v>64</v>
      </c>
      <c r="BL27" s="411">
        <f t="shared" si="0"/>
        <v>687194767.36000001</v>
      </c>
      <c r="BM27" s="980">
        <v>1.5</v>
      </c>
      <c r="BN27" s="980"/>
      <c r="BO27" s="305">
        <f t="shared" si="1"/>
        <v>1030792151.04</v>
      </c>
      <c r="BP27" s="978" t="s">
        <v>1144</v>
      </c>
      <c r="BQ27" s="305">
        <f t="shared" si="7"/>
        <v>1030792151.04</v>
      </c>
      <c r="BR27" s="691">
        <f t="shared" si="8"/>
        <v>1185410973.6960001</v>
      </c>
      <c r="BS27" s="893">
        <f t="shared" ref="BS27:BS31" si="12">BS26</f>
        <v>0.125</v>
      </c>
      <c r="BT27" s="973">
        <f t="shared" si="11"/>
        <v>148176371.71200001</v>
      </c>
      <c r="BU27" s="305">
        <f t="shared" ref="BU27:BU55" si="13">BU26</f>
        <v>1964262597.5583341</v>
      </c>
      <c r="BV27" s="910">
        <f t="shared" si="9"/>
        <v>0</v>
      </c>
      <c r="BW27" s="981">
        <f t="shared" si="10"/>
        <v>2020</v>
      </c>
    </row>
    <row r="28" spans="1:77"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437"/>
      <c r="AK28" s="434"/>
      <c r="AL28" s="142"/>
      <c r="AM28" s="434"/>
      <c r="AN28" s="180"/>
      <c r="AP28" s="122"/>
      <c r="AQ28" s="8"/>
      <c r="AR28" s="623"/>
      <c r="AS28" s="624"/>
      <c r="AT28" s="629">
        <f>AQ5</f>
        <v>1732416385.9779203</v>
      </c>
      <c r="AW28" s="473"/>
      <c r="BB28" s="982" t="s">
        <v>989</v>
      </c>
      <c r="BC28" s="983">
        <f t="shared" si="2"/>
        <v>2021</v>
      </c>
      <c r="BD28" s="910">
        <f t="shared" si="3"/>
        <v>85470584981056.078</v>
      </c>
      <c r="BE28" s="985">
        <f t="shared" si="4"/>
        <v>2.5000000000000001E-2</v>
      </c>
      <c r="BF28" s="910">
        <f t="shared" si="5"/>
        <v>2136764624526.4021</v>
      </c>
      <c r="BH28" s="75"/>
      <c r="BI28" s="968">
        <f t="shared" si="6"/>
        <v>2021</v>
      </c>
      <c r="BJ28" s="305">
        <f>BJ20</f>
        <v>10737418.24</v>
      </c>
      <c r="BK28" s="986">
        <v>64</v>
      </c>
      <c r="BL28" s="411">
        <f t="shared" si="0"/>
        <v>687194767.36000001</v>
      </c>
      <c r="BM28" s="980">
        <v>1.25</v>
      </c>
      <c r="BN28" s="980"/>
      <c r="BO28" s="305">
        <f t="shared" si="1"/>
        <v>858993459.20000005</v>
      </c>
      <c r="BP28" s="978" t="s">
        <v>1144</v>
      </c>
      <c r="BQ28" s="305">
        <f t="shared" si="7"/>
        <v>858993459.20000005</v>
      </c>
      <c r="BR28" s="691">
        <f t="shared" si="8"/>
        <v>2044404432.8960001</v>
      </c>
      <c r="BS28" s="893">
        <f t="shared" si="12"/>
        <v>0.125</v>
      </c>
      <c r="BT28" s="973">
        <f t="shared" si="11"/>
        <v>255550554.11200002</v>
      </c>
      <c r="BU28" s="305">
        <f t="shared" si="13"/>
        <v>1964262597.5583341</v>
      </c>
      <c r="BV28" s="910">
        <f t="shared" si="9"/>
        <v>0</v>
      </c>
      <c r="BW28" s="981">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149356516.00853738</v>
      </c>
      <c r="AP29" s="179"/>
      <c r="AQ29" s="161">
        <f>SUM(AQ10:AQ28)</f>
        <v>12603159.382448126</v>
      </c>
      <c r="AR29" s="1263">
        <v>128</v>
      </c>
      <c r="AS29" s="183">
        <f>AQ29*AR29</f>
        <v>1613204400.9533601</v>
      </c>
      <c r="AT29" s="645">
        <f>AS29+AT28</f>
        <v>3345620786.9312801</v>
      </c>
      <c r="AU29" s="253" t="s">
        <v>1383</v>
      </c>
      <c r="AW29" s="473"/>
      <c r="BB29" s="982" t="s">
        <v>989</v>
      </c>
      <c r="BC29" s="983">
        <f>BC28+1</f>
        <v>2022</v>
      </c>
      <c r="BD29" s="910">
        <f>BD28+BF28</f>
        <v>87607349605582.484</v>
      </c>
      <c r="BE29" s="985">
        <f>BE28</f>
        <v>2.5000000000000001E-2</v>
      </c>
      <c r="BF29" s="910">
        <f t="shared" si="5"/>
        <v>2190183740139.5623</v>
      </c>
      <c r="BH29" s="75"/>
      <c r="BI29" s="968">
        <f>BI28+1</f>
        <v>2022</v>
      </c>
      <c r="BJ29" s="305">
        <f>BJ20</f>
        <v>10737418.24</v>
      </c>
      <c r="BK29" s="986">
        <v>64</v>
      </c>
      <c r="BL29" s="411">
        <f t="shared" si="0"/>
        <v>687194767.36000001</v>
      </c>
      <c r="BM29" s="980">
        <v>2</v>
      </c>
      <c r="BN29" s="980"/>
      <c r="BO29" s="305">
        <f t="shared" si="1"/>
        <v>1374389534.72</v>
      </c>
      <c r="BP29" s="978" t="s">
        <v>1144</v>
      </c>
      <c r="BQ29" s="305">
        <f t="shared" si="7"/>
        <v>1374389534.72</v>
      </c>
      <c r="BR29" s="691">
        <f t="shared" si="8"/>
        <v>3418793967.6160002</v>
      </c>
      <c r="BS29" s="893">
        <f t="shared" si="12"/>
        <v>0.125</v>
      </c>
      <c r="BT29" s="973">
        <f t="shared" si="11"/>
        <v>427349245.95200002</v>
      </c>
      <c r="BU29" s="305">
        <f t="shared" si="13"/>
        <v>1964262597.5583341</v>
      </c>
      <c r="BV29" s="910">
        <f t="shared" si="9"/>
        <v>0</v>
      </c>
      <c r="BW29" s="981">
        <f>BW28+1</f>
        <v>2022</v>
      </c>
    </row>
    <row r="30" spans="1:77" x14ac:dyDescent="0.3">
      <c r="C30" s="158"/>
      <c r="D30" s="10"/>
      <c r="E30" s="10"/>
      <c r="F30" s="10"/>
      <c r="G30" s="159">
        <f>SUM(G10:G29)</f>
        <v>21474836.48</v>
      </c>
      <c r="H30" s="599"/>
      <c r="I30" s="172">
        <f>SUM(I10:I29)</f>
        <v>18997243.358874999</v>
      </c>
      <c r="J30" s="158"/>
      <c r="K30" s="11"/>
      <c r="L30" s="160"/>
      <c r="M30" s="161">
        <f>SUM(M10:M29)</f>
        <v>18047381.190931246</v>
      </c>
      <c r="N30" s="158"/>
      <c r="O30" s="11"/>
      <c r="P30" s="598"/>
      <c r="Q30" s="172">
        <f>SUM(Q10:Q29)</f>
        <v>17145012.131384686</v>
      </c>
      <c r="R30" s="158"/>
      <c r="S30" s="11"/>
      <c r="T30" s="160"/>
      <c r="U30" s="161">
        <f>SUM(U10:U29)</f>
        <v>16287761.524815449</v>
      </c>
      <c r="V30" s="158"/>
      <c r="W30" s="11"/>
      <c r="X30" s="598"/>
      <c r="Y30" s="172">
        <f>SUM(Y10:Y29)</f>
        <v>15473373.448574675</v>
      </c>
      <c r="Z30" s="158"/>
      <c r="AA30" s="11"/>
      <c r="AB30" s="160"/>
      <c r="AC30" s="161">
        <f>SUM(AC10:AC29)</f>
        <v>14699704.776145941</v>
      </c>
      <c r="AD30" s="158"/>
      <c r="AE30" s="11"/>
      <c r="AF30" s="598"/>
      <c r="AG30" s="172">
        <f>SUM(AG10:AG29)</f>
        <v>13964719.537338644</v>
      </c>
      <c r="AH30" s="158"/>
      <c r="AI30" s="11"/>
      <c r="AJ30" s="179"/>
      <c r="AK30" s="161">
        <f>SUM(AK10:AK29)</f>
        <v>13266483.560471712</v>
      </c>
      <c r="AL30" s="158"/>
      <c r="AM30" s="11"/>
      <c r="AN30" s="161">
        <f>G30+I30+M30+Q30+U30+Y30+AC30+AG30+AK30</f>
        <v>149356516.00853735</v>
      </c>
      <c r="AT30" s="253" t="s">
        <v>1383</v>
      </c>
      <c r="AW30" s="473"/>
      <c r="BB30" s="982" t="s">
        <v>989</v>
      </c>
      <c r="BC30" s="983">
        <f>BC29+1</f>
        <v>2023</v>
      </c>
      <c r="BD30" s="910">
        <f>BD29+BF29</f>
        <v>89797533345722.047</v>
      </c>
      <c r="BE30" s="985">
        <f>BE29</f>
        <v>2.5000000000000001E-2</v>
      </c>
      <c r="BF30" s="910">
        <f t="shared" si="5"/>
        <v>2244938333643.0513</v>
      </c>
      <c r="BH30" s="75"/>
      <c r="BI30" s="968">
        <f>BI29+1</f>
        <v>2023</v>
      </c>
      <c r="BJ30" s="305">
        <f>BJ20</f>
        <v>10737418.24</v>
      </c>
      <c r="BK30" s="986">
        <v>64</v>
      </c>
      <c r="BL30" s="411">
        <f t="shared" si="0"/>
        <v>687194767.36000001</v>
      </c>
      <c r="BM30" s="980">
        <v>3</v>
      </c>
      <c r="BN30" s="980"/>
      <c r="BO30" s="305">
        <f t="shared" si="1"/>
        <v>2061584302.0799999</v>
      </c>
      <c r="BP30" s="978" t="s">
        <v>1144</v>
      </c>
      <c r="BQ30" s="305">
        <f t="shared" si="7"/>
        <v>2061584302.0799999</v>
      </c>
      <c r="BR30" s="691">
        <f t="shared" si="8"/>
        <v>5480378269.6960001</v>
      </c>
      <c r="BS30" s="893">
        <f t="shared" si="12"/>
        <v>0.125</v>
      </c>
      <c r="BT30" s="973">
        <f t="shared" si="11"/>
        <v>685047283.71200001</v>
      </c>
      <c r="BU30" s="305">
        <f t="shared" si="13"/>
        <v>1964262597.5583341</v>
      </c>
      <c r="BV30" s="910">
        <f t="shared" si="9"/>
        <v>0</v>
      </c>
      <c r="BW30" s="981">
        <f>BW29+1</f>
        <v>2023</v>
      </c>
    </row>
    <row r="31" spans="1:77" x14ac:dyDescent="0.3">
      <c r="I31" s="30"/>
      <c r="Q31" s="30"/>
      <c r="Y31" s="30"/>
      <c r="AN31" s="999" t="s">
        <v>1355</v>
      </c>
      <c r="AP31" s="77" t="s">
        <v>1382</v>
      </c>
      <c r="AQ31" s="567">
        <f>AN34</f>
        <v>6.9549547512334486</v>
      </c>
      <c r="AR31" s="76"/>
      <c r="AS31" s="76" t="s">
        <v>957</v>
      </c>
      <c r="AT31" s="1">
        <f>'Tab 2024 - ŔÉŚ 1'!AT29</f>
        <v>1347906493.0924902</v>
      </c>
      <c r="AU31" s="1" t="s">
        <v>1675</v>
      </c>
      <c r="AW31" s="473"/>
      <c r="BB31" s="982" t="s">
        <v>989</v>
      </c>
      <c r="BC31" s="983">
        <f t="shared" si="2"/>
        <v>2024</v>
      </c>
      <c r="BD31" s="910">
        <f t="shared" si="3"/>
        <v>92042471679365.094</v>
      </c>
      <c r="BE31" s="985">
        <f t="shared" si="4"/>
        <v>2.5000000000000001E-2</v>
      </c>
      <c r="BF31" s="910">
        <f t="shared" si="5"/>
        <v>2301061791984.1274</v>
      </c>
      <c r="BG31" s="895" t="s">
        <v>1282</v>
      </c>
      <c r="BH31" s="75"/>
      <c r="BI31" s="968">
        <f t="shared" si="6"/>
        <v>2024</v>
      </c>
      <c r="BJ31" s="305">
        <f>BJ20</f>
        <v>10737418.24</v>
      </c>
      <c r="BK31" s="986">
        <v>64</v>
      </c>
      <c r="BL31" s="411">
        <f t="shared" si="0"/>
        <v>687194767.36000001</v>
      </c>
      <c r="BM31" s="980">
        <v>8</v>
      </c>
      <c r="BN31" s="980"/>
      <c r="BO31" s="305">
        <f t="shared" si="1"/>
        <v>5497558138.8800001</v>
      </c>
      <c r="BP31" s="978" t="s">
        <v>1144</v>
      </c>
      <c r="BQ31" s="305">
        <f t="shared" si="7"/>
        <v>5497558138.8800001</v>
      </c>
      <c r="BR31" s="691">
        <f t="shared" si="8"/>
        <v>10977936408.576</v>
      </c>
      <c r="BS31" s="893">
        <f t="shared" si="12"/>
        <v>0.125</v>
      </c>
      <c r="BT31" s="995">
        <f t="shared" si="11"/>
        <v>1372242051.072</v>
      </c>
      <c r="BU31" s="305">
        <f t="shared" si="13"/>
        <v>1964262597.5583341</v>
      </c>
      <c r="BV31" s="910">
        <f t="shared" si="9"/>
        <v>0</v>
      </c>
      <c r="BW31" s="981">
        <f t="shared" si="10"/>
        <v>2024</v>
      </c>
      <c r="BX31" s="1000">
        <v>0.125</v>
      </c>
      <c r="BY31" s="1001">
        <f>BT31*BS31</f>
        <v>171530256.384</v>
      </c>
    </row>
    <row r="32" spans="1:77" x14ac:dyDescent="0.3">
      <c r="A32" s="690"/>
      <c r="B32" s="690"/>
      <c r="I32" s="690"/>
      <c r="AM32" s="1150" t="s">
        <v>306</v>
      </c>
      <c r="AN32" s="182">
        <f>E8</f>
        <v>21474836.48</v>
      </c>
      <c r="AP32" s="736">
        <f>AN47</f>
        <v>5497558138.8800001</v>
      </c>
      <c r="AQ32" s="568">
        <f>AP32*AN34</f>
        <v>38235268098.18557</v>
      </c>
      <c r="AR32" s="208">
        <f>AO49</f>
        <v>0.66163000000000005</v>
      </c>
      <c r="AS32" s="691">
        <f>AQ32*AR32</f>
        <v>25297600431.802521</v>
      </c>
      <c r="AT32" s="32">
        <f>AT29/AT31</f>
        <v>2.4820867056255893</v>
      </c>
      <c r="AW32" s="473"/>
      <c r="BB32" s="332" t="s">
        <v>989</v>
      </c>
      <c r="BC32" s="953">
        <f>BC31+1</f>
        <v>2025</v>
      </c>
      <c r="BD32" s="691">
        <f>BD31+BF31</f>
        <v>94343533471349.219</v>
      </c>
      <c r="BE32" s="894">
        <f>BE31</f>
        <v>2.5000000000000001E-2</v>
      </c>
      <c r="BF32" s="691">
        <f t="shared" si="5"/>
        <v>2358588336783.7305</v>
      </c>
      <c r="BH32" s="332" t="s">
        <v>963</v>
      </c>
      <c r="BI32" s="953">
        <f>BI31+1</f>
        <v>2025</v>
      </c>
      <c r="BJ32" s="691">
        <f>BJ20</f>
        <v>10737418.24</v>
      </c>
      <c r="BK32" s="987">
        <v>64</v>
      </c>
      <c r="BL32" s="875">
        <f t="shared" si="0"/>
        <v>687194767.36000001</v>
      </c>
      <c r="BM32" s="977"/>
      <c r="BN32" s="977"/>
      <c r="BO32" s="691">
        <f t="shared" si="1"/>
        <v>0</v>
      </c>
      <c r="BQ32" s="691">
        <f t="shared" si="7"/>
        <v>0</v>
      </c>
      <c r="BR32" s="691">
        <f t="shared" si="8"/>
        <v>10977936408.576</v>
      </c>
      <c r="BS32" s="894">
        <f>BS31</f>
        <v>0.125</v>
      </c>
      <c r="BT32" s="975">
        <f t="shared" si="11"/>
        <v>1372242051.072</v>
      </c>
      <c r="BU32" s="691">
        <f t="shared" si="13"/>
        <v>1964262597.5583341</v>
      </c>
      <c r="BV32" s="183">
        <f t="shared" si="9"/>
        <v>0</v>
      </c>
      <c r="BW32" s="949">
        <f>BW31+1</f>
        <v>2025</v>
      </c>
    </row>
    <row r="33" spans="1:75" x14ac:dyDescent="0.3">
      <c r="I33" s="690"/>
      <c r="J33" s="18"/>
      <c r="K33" s="690"/>
      <c r="AM33" s="122" t="s">
        <v>307</v>
      </c>
      <c r="AN33" s="183">
        <f>AN29</f>
        <v>149356516.00853738</v>
      </c>
      <c r="AQ33" s="248"/>
      <c r="AS33" s="181"/>
      <c r="AT33" s="1">
        <f>AT29-AT28</f>
        <v>1613204400.9533598</v>
      </c>
      <c r="AW33" s="473"/>
      <c r="BB33" s="332" t="s">
        <v>989</v>
      </c>
      <c r="BC33" s="953">
        <f t="shared" si="2"/>
        <v>2026</v>
      </c>
      <c r="BD33" s="691">
        <f t="shared" si="3"/>
        <v>96702121808132.953</v>
      </c>
      <c r="BE33" s="894">
        <f t="shared" si="4"/>
        <v>2.5000000000000001E-2</v>
      </c>
      <c r="BF33" s="691">
        <f t="shared" si="5"/>
        <v>2417553045203.3237</v>
      </c>
      <c r="BH33" s="332"/>
      <c r="BI33" s="953">
        <f t="shared" si="6"/>
        <v>2026</v>
      </c>
      <c r="BJ33" s="691">
        <f>BJ20</f>
        <v>10737418.24</v>
      </c>
      <c r="BK33" s="987">
        <v>64</v>
      </c>
      <c r="BL33" s="875">
        <f t="shared" si="0"/>
        <v>687194767.36000001</v>
      </c>
      <c r="BM33" s="977"/>
      <c r="BN33" s="977"/>
      <c r="BO33" s="691">
        <f t="shared" si="1"/>
        <v>0</v>
      </c>
      <c r="BQ33" s="691">
        <f t="shared" si="7"/>
        <v>0</v>
      </c>
      <c r="BR33" s="691">
        <f t="shared" si="8"/>
        <v>10977936408.576</v>
      </c>
      <c r="BS33" s="894">
        <f>BS32</f>
        <v>0.125</v>
      </c>
      <c r="BT33" s="975">
        <f t="shared" si="11"/>
        <v>1372242051.072</v>
      </c>
      <c r="BU33" s="691">
        <f t="shared" si="13"/>
        <v>1964262597.5583341</v>
      </c>
      <c r="BV33" s="183">
        <f t="shared" si="9"/>
        <v>0</v>
      </c>
      <c r="BW33" s="949">
        <f t="shared" si="10"/>
        <v>2026</v>
      </c>
    </row>
    <row r="34" spans="1:75" x14ac:dyDescent="0.3">
      <c r="A34" s="690"/>
      <c r="B34" s="690"/>
      <c r="C34" s="900" t="s">
        <v>1036</v>
      </c>
      <c r="D34" s="901" t="s">
        <v>1287</v>
      </c>
      <c r="E34" s="4"/>
      <c r="F34" s="4"/>
      <c r="G34" s="5"/>
      <c r="AM34" s="1150" t="s">
        <v>310</v>
      </c>
      <c r="AN34" s="1517">
        <f>AN33/AN32</f>
        <v>6.9549547512334486</v>
      </c>
      <c r="AO34" s="239"/>
      <c r="AP34" s="239" t="s">
        <v>974</v>
      </c>
      <c r="AQ34" s="248" t="s">
        <v>1384</v>
      </c>
      <c r="AR34" s="239"/>
      <c r="AS34" s="181"/>
      <c r="AW34" s="473"/>
      <c r="BB34" s="332" t="s">
        <v>989</v>
      </c>
      <c r="BC34" s="953">
        <f t="shared" si="2"/>
        <v>2027</v>
      </c>
      <c r="BD34" s="691">
        <f t="shared" si="3"/>
        <v>99119674853336.281</v>
      </c>
      <c r="BE34" s="894">
        <f t="shared" si="4"/>
        <v>2.5000000000000001E-2</v>
      </c>
      <c r="BF34" s="691">
        <f t="shared" si="5"/>
        <v>2477991871333.4072</v>
      </c>
      <c r="BH34" s="76"/>
      <c r="BI34" s="953">
        <f t="shared" si="6"/>
        <v>2027</v>
      </c>
      <c r="BJ34" s="691">
        <f>BJ20</f>
        <v>10737418.24</v>
      </c>
      <c r="BK34" s="987">
        <v>64</v>
      </c>
      <c r="BL34" s="875">
        <f t="shared" si="0"/>
        <v>687194767.36000001</v>
      </c>
      <c r="BM34" s="977">
        <v>8</v>
      </c>
      <c r="BN34" s="977"/>
      <c r="BO34" s="691">
        <f t="shared" si="1"/>
        <v>5497558138.8800001</v>
      </c>
      <c r="BQ34" s="691">
        <f t="shared" si="7"/>
        <v>5497558138.8800001</v>
      </c>
      <c r="BR34" s="691">
        <f t="shared" si="8"/>
        <v>16475494547.456001</v>
      </c>
      <c r="BS34" s="894">
        <f t="shared" ref="BS34:BS55" si="14">BS33</f>
        <v>0.125</v>
      </c>
      <c r="BT34" s="975">
        <f t="shared" si="11"/>
        <v>2059436818.4320002</v>
      </c>
      <c r="BU34" s="691">
        <f t="shared" si="13"/>
        <v>1964262597.5583341</v>
      </c>
      <c r="BV34" s="183">
        <f t="shared" si="9"/>
        <v>0</v>
      </c>
      <c r="BW34" s="949">
        <f t="shared" si="10"/>
        <v>2027</v>
      </c>
    </row>
    <row r="35" spans="1:75" x14ac:dyDescent="0.3">
      <c r="A35" s="690"/>
      <c r="B35" s="690"/>
      <c r="C35" s="122" t="s">
        <v>732</v>
      </c>
      <c r="D35" s="287" t="s">
        <v>1288</v>
      </c>
      <c r="E35" s="7" t="s">
        <v>1289</v>
      </c>
      <c r="F35" s="7"/>
      <c r="G35" s="8"/>
      <c r="AL35" s="38"/>
      <c r="AM35" s="1150" t="s">
        <v>785</v>
      </c>
      <c r="AN35" s="472">
        <f>E11+E5</f>
        <v>5497558138.8800001</v>
      </c>
      <c r="AO35" s="473"/>
      <c r="AP35" s="472">
        <f>BO31</f>
        <v>5497558138.8800001</v>
      </c>
      <c r="AQ35" s="472">
        <f>AP35-AN35</f>
        <v>0</v>
      </c>
      <c r="AR35" s="473"/>
      <c r="AS35" s="563"/>
      <c r="AT35" s="473"/>
      <c r="AU35" s="473"/>
      <c r="AV35" s="473"/>
      <c r="AW35" s="473"/>
      <c r="AX35" s="88"/>
      <c r="AY35" s="88"/>
      <c r="AZ35" s="88"/>
      <c r="BA35" s="88"/>
      <c r="BB35" s="332" t="s">
        <v>989</v>
      </c>
      <c r="BC35" s="953">
        <f t="shared" si="2"/>
        <v>2028</v>
      </c>
      <c r="BD35" s="691">
        <f t="shared" si="3"/>
        <v>101597666724669.69</v>
      </c>
      <c r="BE35" s="894">
        <f t="shared" si="4"/>
        <v>2.5000000000000001E-2</v>
      </c>
      <c r="BF35" s="691">
        <f t="shared" si="5"/>
        <v>2539941668116.7422</v>
      </c>
      <c r="BH35" s="76"/>
      <c r="BI35" s="953">
        <f t="shared" si="6"/>
        <v>2028</v>
      </c>
      <c r="BJ35" s="691">
        <f>BJ20</f>
        <v>10737418.24</v>
      </c>
      <c r="BK35" s="987">
        <v>64</v>
      </c>
      <c r="BL35" s="875">
        <f t="shared" si="0"/>
        <v>687194767.36000001</v>
      </c>
      <c r="BM35" s="977"/>
      <c r="BN35" s="977"/>
      <c r="BO35" s="691">
        <f t="shared" si="1"/>
        <v>0</v>
      </c>
      <c r="BQ35" s="691">
        <f t="shared" si="7"/>
        <v>0</v>
      </c>
      <c r="BR35" s="691">
        <f t="shared" si="8"/>
        <v>16475494547.456001</v>
      </c>
      <c r="BS35" s="894">
        <f t="shared" si="14"/>
        <v>0.125</v>
      </c>
      <c r="BT35" s="975">
        <f t="shared" si="11"/>
        <v>2059436818.4320002</v>
      </c>
      <c r="BU35" s="691">
        <f t="shared" si="13"/>
        <v>1964262597.5583341</v>
      </c>
      <c r="BV35" s="183">
        <f t="shared" si="9"/>
        <v>0</v>
      </c>
      <c r="BW35" s="949">
        <f t="shared" si="10"/>
        <v>2028</v>
      </c>
    </row>
    <row r="36" spans="1:75" x14ac:dyDescent="0.3">
      <c r="A36" s="690"/>
      <c r="B36" s="690"/>
      <c r="C36" s="1151">
        <v>32</v>
      </c>
      <c r="D36" s="411">
        <f>'POP Dimensions'!J15</f>
        <v>21474836.48</v>
      </c>
      <c r="E36" s="411">
        <f>C36*D36</f>
        <v>687194767.36000001</v>
      </c>
      <c r="F36" s="896"/>
      <c r="G36" s="902" t="s">
        <v>732</v>
      </c>
      <c r="AL36" s="38"/>
      <c r="AM36" s="1206" t="s">
        <v>1445</v>
      </c>
      <c r="AN36" s="1207">
        <v>0</v>
      </c>
      <c r="AO36" s="88"/>
      <c r="AP36" s="511"/>
      <c r="AQ36" s="511"/>
      <c r="AR36" s="88"/>
      <c r="AS36" s="181"/>
      <c r="AT36" s="88">
        <f>AT29*2</f>
        <v>6691241573.8625603</v>
      </c>
      <c r="AU36" s="88"/>
      <c r="AV36" s="616">
        <f>AS47*AX47</f>
        <v>191145461896.56244</v>
      </c>
      <c r="AW36" s="617" t="s">
        <v>778</v>
      </c>
      <c r="AX36" s="88"/>
      <c r="AY36" s="88"/>
      <c r="AZ36" s="88"/>
      <c r="BA36" s="88"/>
      <c r="BB36" s="332" t="s">
        <v>989</v>
      </c>
      <c r="BC36" s="953">
        <f>BC35+1</f>
        <v>2029</v>
      </c>
      <c r="BD36" s="691">
        <f>BD35+BF35</f>
        <v>104137608392786.44</v>
      </c>
      <c r="BE36" s="894">
        <f>BE35</f>
        <v>2.5000000000000001E-2</v>
      </c>
      <c r="BF36" s="691">
        <f>BD36*BE36</f>
        <v>2603440209819.6611</v>
      </c>
      <c r="BH36" s="76"/>
      <c r="BI36" s="953">
        <f>BI35+1</f>
        <v>2029</v>
      </c>
      <c r="BJ36" s="691">
        <f>BJ20</f>
        <v>10737418.24</v>
      </c>
      <c r="BK36" s="987">
        <v>64</v>
      </c>
      <c r="BL36" s="875">
        <f>BK36*BJ36</f>
        <v>687194767.36000001</v>
      </c>
      <c r="BM36" s="977"/>
      <c r="BN36" s="977"/>
      <c r="BO36" s="691">
        <f>BL36*BM36</f>
        <v>0</v>
      </c>
      <c r="BQ36" s="691">
        <f t="shared" si="7"/>
        <v>0</v>
      </c>
      <c r="BR36" s="691">
        <f>BQ36+BR35-BV36</f>
        <v>16475494547.456001</v>
      </c>
      <c r="BS36" s="894">
        <f t="shared" si="14"/>
        <v>0.125</v>
      </c>
      <c r="BT36" s="975">
        <f t="shared" si="11"/>
        <v>2059436818.4320002</v>
      </c>
      <c r="BU36" s="691">
        <f t="shared" si="13"/>
        <v>1964262597.5583341</v>
      </c>
      <c r="BV36" s="183">
        <f>BL36*BN36</f>
        <v>0</v>
      </c>
      <c r="BW36" s="949">
        <f t="shared" si="10"/>
        <v>2029</v>
      </c>
    </row>
    <row r="37" spans="1:75" x14ac:dyDescent="0.3">
      <c r="A37" s="690"/>
      <c r="B37" s="690"/>
      <c r="C37" s="1152">
        <f>C36*2</f>
        <v>64</v>
      </c>
      <c r="D37" s="897">
        <f>D36</f>
        <v>21474836.48</v>
      </c>
      <c r="E37" s="897">
        <f t="shared" ref="E37:E43" si="15">C37*D37</f>
        <v>1374389534.72</v>
      </c>
      <c r="F37" s="874"/>
      <c r="G37" s="903" t="s">
        <v>732</v>
      </c>
      <c r="AL37" s="38"/>
      <c r="AM37" s="1206" t="s">
        <v>1444</v>
      </c>
      <c r="AN37" s="1207">
        <v>0</v>
      </c>
      <c r="AO37" s="88"/>
      <c r="AP37" s="511"/>
      <c r="AQ37" s="511"/>
      <c r="AR37" s="88"/>
      <c r="AS37" s="181"/>
      <c r="AT37" s="88"/>
      <c r="AU37" s="88"/>
      <c r="AV37" s="616"/>
      <c r="AW37" s="617"/>
      <c r="AX37" s="88"/>
      <c r="AY37" s="88"/>
      <c r="AZ37" s="88"/>
      <c r="BA37" s="88"/>
      <c r="BB37" s="332" t="s">
        <v>989</v>
      </c>
      <c r="BC37" s="953">
        <f>BC36+1</f>
        <v>2030</v>
      </c>
      <c r="BD37" s="691">
        <f>BD36+BF36</f>
        <v>106741048602606.09</v>
      </c>
      <c r="BE37" s="894">
        <f>BE36</f>
        <v>2.5000000000000001E-2</v>
      </c>
      <c r="BF37" s="691">
        <f>BD37*BE37</f>
        <v>2668526215065.1523</v>
      </c>
      <c r="BH37" s="76"/>
      <c r="BI37" s="953">
        <f>BI36+1</f>
        <v>2030</v>
      </c>
      <c r="BJ37" s="691">
        <f>BJ20</f>
        <v>10737418.24</v>
      </c>
      <c r="BK37" s="987">
        <v>64</v>
      </c>
      <c r="BL37" s="875">
        <f t="shared" ref="BL37:BL55" si="16">BK37*BJ37</f>
        <v>687194767.36000001</v>
      </c>
      <c r="BM37" s="977"/>
      <c r="BN37" s="977"/>
      <c r="BO37" s="691">
        <f t="shared" ref="BO37:BO55" si="17">BL37*BM37</f>
        <v>0</v>
      </c>
      <c r="BQ37" s="691">
        <f t="shared" si="7"/>
        <v>0</v>
      </c>
      <c r="BR37" s="691">
        <f>BQ37+BR36-BV37</f>
        <v>16475494547.456001</v>
      </c>
      <c r="BS37" s="894">
        <f t="shared" si="14"/>
        <v>0.125</v>
      </c>
      <c r="BT37" s="975">
        <f t="shared" si="11"/>
        <v>2059436818.4320002</v>
      </c>
      <c r="BU37" s="691">
        <f t="shared" si="13"/>
        <v>1964262597.5583341</v>
      </c>
      <c r="BV37" s="183">
        <f>BL37*BN37</f>
        <v>0</v>
      </c>
      <c r="BW37" s="949">
        <f t="shared" si="10"/>
        <v>2030</v>
      </c>
    </row>
    <row r="38" spans="1:75" x14ac:dyDescent="0.3">
      <c r="A38" s="690"/>
      <c r="B38" s="690"/>
      <c r="C38" s="1121">
        <f>C37*2</f>
        <v>128</v>
      </c>
      <c r="D38" s="875">
        <f t="shared" ref="D38:D43" si="18">D37</f>
        <v>21474836.48</v>
      </c>
      <c r="E38" s="875">
        <f t="shared" si="15"/>
        <v>2748779069.4400001</v>
      </c>
      <c r="F38" s="410"/>
      <c r="G38" s="126" t="s">
        <v>732</v>
      </c>
      <c r="AI38" s="1162" t="s">
        <v>1435</v>
      </c>
      <c r="AJ38" s="1160"/>
      <c r="AK38" s="1160"/>
      <c r="AL38" s="1160"/>
      <c r="AM38" s="1161" t="s">
        <v>1284</v>
      </c>
      <c r="AN38" s="1164">
        <v>0</v>
      </c>
      <c r="AO38" s="88"/>
      <c r="AP38" s="88"/>
      <c r="AQ38" s="253"/>
      <c r="AR38" s="88"/>
      <c r="AS38" s="181"/>
      <c r="BB38" s="332" t="s">
        <v>989</v>
      </c>
      <c r="BC38" s="953">
        <f>BC37+1</f>
        <v>2031</v>
      </c>
      <c r="BD38" s="691">
        <f>BD37+BF37</f>
        <v>109409574817671.25</v>
      </c>
      <c r="BE38" s="894">
        <f>BE37</f>
        <v>2.5000000000000001E-2</v>
      </c>
      <c r="BF38" s="691">
        <f>BD38*BE38</f>
        <v>2735239370441.7813</v>
      </c>
      <c r="BH38" s="76"/>
      <c r="BI38" s="953">
        <f t="shared" ref="BI38:BI55" si="19">BI37+1</f>
        <v>2031</v>
      </c>
      <c r="BJ38" s="691">
        <f>BJ20</f>
        <v>10737418.24</v>
      </c>
      <c r="BK38" s="987">
        <v>64</v>
      </c>
      <c r="BL38" s="875">
        <f t="shared" si="16"/>
        <v>687194767.36000001</v>
      </c>
      <c r="BM38" s="977"/>
      <c r="BN38" s="977"/>
      <c r="BO38" s="691">
        <f t="shared" si="17"/>
        <v>0</v>
      </c>
      <c r="BQ38" s="691">
        <f t="shared" si="7"/>
        <v>0</v>
      </c>
      <c r="BR38" s="691">
        <f t="shared" ref="BR38:BR55" si="20">BQ38+BR37-BV38</f>
        <v>16475494547.456001</v>
      </c>
      <c r="BS38" s="894">
        <f t="shared" si="14"/>
        <v>0.125</v>
      </c>
      <c r="BT38" s="975">
        <f t="shared" si="11"/>
        <v>2059436818.4320002</v>
      </c>
      <c r="BU38" s="691">
        <f t="shared" si="13"/>
        <v>1964262597.5583341</v>
      </c>
      <c r="BV38" s="183">
        <f t="shared" ref="BV38:BV55" si="21">BL38*BN38</f>
        <v>0</v>
      </c>
      <c r="BW38" s="949">
        <f t="shared" si="10"/>
        <v>2031</v>
      </c>
    </row>
    <row r="39" spans="1:75" x14ac:dyDescent="0.3">
      <c r="A39" s="690"/>
      <c r="B39" s="690"/>
      <c r="C39" s="1151">
        <f>C38*2</f>
        <v>256</v>
      </c>
      <c r="D39" s="411">
        <f t="shared" si="18"/>
        <v>21474836.48</v>
      </c>
      <c r="E39" s="411">
        <f t="shared" si="15"/>
        <v>5497558138.8800001</v>
      </c>
      <c r="F39" s="896"/>
      <c r="G39" s="902" t="s">
        <v>732</v>
      </c>
      <c r="AI39" s="1163" t="s">
        <v>1436</v>
      </c>
      <c r="AM39" s="1155" t="s">
        <v>1279</v>
      </c>
      <c r="AN39" s="1164">
        <v>0</v>
      </c>
      <c r="AO39" s="88"/>
      <c r="AP39" s="88"/>
      <c r="AQ39" s="253"/>
      <c r="AR39" s="88"/>
      <c r="AS39" s="181"/>
      <c r="AV39" s="616"/>
      <c r="AW39" s="617"/>
      <c r="BB39" s="332" t="s">
        <v>989</v>
      </c>
      <c r="BC39" s="953">
        <f>BC38+1</f>
        <v>2032</v>
      </c>
      <c r="BD39" s="691">
        <f>BD38+BF38</f>
        <v>112144814188113.03</v>
      </c>
      <c r="BE39" s="894">
        <f>BE38</f>
        <v>2.5000000000000001E-2</v>
      </c>
      <c r="BF39" s="691">
        <f>BD39*BE39</f>
        <v>2803620354702.8262</v>
      </c>
      <c r="BG39" s="895" t="s">
        <v>1281</v>
      </c>
      <c r="BH39" s="76"/>
      <c r="BI39" s="953">
        <f t="shared" si="19"/>
        <v>2032</v>
      </c>
      <c r="BJ39" s="691">
        <f t="shared" ref="BJ39:BJ55" si="22">BJ29</f>
        <v>10737418.24</v>
      </c>
      <c r="BK39" s="987">
        <v>64</v>
      </c>
      <c r="BL39" s="875">
        <f t="shared" si="16"/>
        <v>687194767.36000001</v>
      </c>
      <c r="BM39" s="977"/>
      <c r="BN39" s="977"/>
      <c r="BO39" s="691">
        <f t="shared" si="17"/>
        <v>0</v>
      </c>
      <c r="BQ39" s="691">
        <f t="shared" si="7"/>
        <v>0</v>
      </c>
      <c r="BR39" s="691">
        <f t="shared" si="20"/>
        <v>16475494547.456001</v>
      </c>
      <c r="BS39" s="894">
        <f t="shared" si="14"/>
        <v>0.125</v>
      </c>
      <c r="BT39" s="975">
        <f t="shared" si="11"/>
        <v>2059436818.4320002</v>
      </c>
      <c r="BU39" s="691">
        <f t="shared" si="13"/>
        <v>1964262597.5583341</v>
      </c>
      <c r="BV39" s="183">
        <f t="shared" si="21"/>
        <v>0</v>
      </c>
      <c r="BW39" s="949">
        <f t="shared" si="10"/>
        <v>2032</v>
      </c>
    </row>
    <row r="40" spans="1:75" x14ac:dyDescent="0.3">
      <c r="A40" s="690"/>
      <c r="B40" s="690"/>
      <c r="C40" s="1152">
        <f t="shared" ref="C40:C43" si="23">C39*2</f>
        <v>512</v>
      </c>
      <c r="D40" s="897">
        <f t="shared" si="18"/>
        <v>21474836.48</v>
      </c>
      <c r="E40" s="897">
        <f t="shared" si="15"/>
        <v>10995116277.76</v>
      </c>
      <c r="F40" s="874"/>
      <c r="G40" s="903" t="s">
        <v>732</v>
      </c>
      <c r="AM40" s="1156" t="s">
        <v>1277</v>
      </c>
      <c r="AN40" s="1164">
        <v>0</v>
      </c>
      <c r="AO40" s="88"/>
      <c r="AP40" s="88"/>
      <c r="AQ40" s="253"/>
      <c r="AR40" s="88"/>
      <c r="AS40" s="181"/>
      <c r="AV40" s="616"/>
      <c r="AW40" s="617"/>
      <c r="BB40" s="332" t="s">
        <v>989</v>
      </c>
      <c r="BC40" s="953">
        <f t="shared" ref="BC40:BC55" si="24">BC39+1</f>
        <v>2033</v>
      </c>
      <c r="BD40" s="691">
        <f t="shared" ref="BD40:BD55" si="25">BD39+BF39</f>
        <v>114948434542815.86</v>
      </c>
      <c r="BE40" s="894">
        <f t="shared" ref="BE40:BE55" si="26">BE39</f>
        <v>2.5000000000000001E-2</v>
      </c>
      <c r="BF40" s="691">
        <f t="shared" ref="BF40:BF55" si="27">BD40*BE40</f>
        <v>2873710863570.3965</v>
      </c>
      <c r="BH40" s="76"/>
      <c r="BI40" s="953">
        <f t="shared" si="19"/>
        <v>2033</v>
      </c>
      <c r="BJ40" s="691">
        <f t="shared" si="22"/>
        <v>10737418.24</v>
      </c>
      <c r="BK40" s="987">
        <v>64</v>
      </c>
      <c r="BL40" s="875">
        <f t="shared" si="16"/>
        <v>687194767.36000001</v>
      </c>
      <c r="BM40" s="969"/>
      <c r="BN40" s="977"/>
      <c r="BO40" s="691">
        <f t="shared" si="17"/>
        <v>0</v>
      </c>
      <c r="BQ40" s="691">
        <f t="shared" si="7"/>
        <v>0</v>
      </c>
      <c r="BR40" s="691">
        <f t="shared" si="20"/>
        <v>16475494547.456001</v>
      </c>
      <c r="BS40" s="894">
        <f t="shared" si="14"/>
        <v>0.125</v>
      </c>
      <c r="BT40" s="975">
        <f t="shared" si="11"/>
        <v>2059436818.4320002</v>
      </c>
      <c r="BU40" s="691">
        <f t="shared" si="13"/>
        <v>1964262597.5583341</v>
      </c>
      <c r="BV40" s="183">
        <f t="shared" si="21"/>
        <v>0</v>
      </c>
      <c r="BW40" s="949">
        <f t="shared" si="10"/>
        <v>2033</v>
      </c>
    </row>
    <row r="41" spans="1:75" x14ac:dyDescent="0.3">
      <c r="A41" s="690"/>
      <c r="B41" s="690"/>
      <c r="C41" s="1121">
        <f t="shared" si="23"/>
        <v>1024</v>
      </c>
      <c r="D41" s="875">
        <f t="shared" si="18"/>
        <v>21474836.48</v>
      </c>
      <c r="E41" s="875">
        <f t="shared" si="15"/>
        <v>21990232555.52</v>
      </c>
      <c r="F41" s="410"/>
      <c r="G41" s="126" t="s">
        <v>732</v>
      </c>
      <c r="AK41" s="173" t="s">
        <v>1433</v>
      </c>
      <c r="AL41" s="1158"/>
      <c r="AM41" s="1159" t="s">
        <v>1285</v>
      </c>
      <c r="AN41" s="719">
        <v>0</v>
      </c>
      <c r="AO41" s="88"/>
      <c r="AP41" s="88"/>
      <c r="AQ41" s="253"/>
      <c r="AR41" s="88"/>
      <c r="AS41" s="181"/>
      <c r="AV41" s="12" t="s">
        <v>979</v>
      </c>
      <c r="BB41" s="332" t="s">
        <v>989</v>
      </c>
      <c r="BC41" s="953">
        <f t="shared" si="24"/>
        <v>2034</v>
      </c>
      <c r="BD41" s="691">
        <f t="shared" si="25"/>
        <v>117822145406386.25</v>
      </c>
      <c r="BE41" s="894">
        <f t="shared" si="26"/>
        <v>2.5000000000000001E-2</v>
      </c>
      <c r="BF41" s="691">
        <f t="shared" si="27"/>
        <v>2945553635159.6563</v>
      </c>
      <c r="BH41" s="76"/>
      <c r="BI41" s="953">
        <f t="shared" si="19"/>
        <v>2034</v>
      </c>
      <c r="BJ41" s="691">
        <f t="shared" si="22"/>
        <v>10737418.24</v>
      </c>
      <c r="BK41" s="987">
        <v>64</v>
      </c>
      <c r="BL41" s="875">
        <f t="shared" si="16"/>
        <v>687194767.36000001</v>
      </c>
      <c r="BM41" s="969"/>
      <c r="BN41" s="977">
        <v>8</v>
      </c>
      <c r="BO41" s="691">
        <f t="shared" si="17"/>
        <v>0</v>
      </c>
      <c r="BQ41" s="691">
        <f t="shared" si="7"/>
        <v>0</v>
      </c>
      <c r="BR41" s="691">
        <f t="shared" si="20"/>
        <v>10977936408.576</v>
      </c>
      <c r="BS41" s="894">
        <f t="shared" si="14"/>
        <v>0.125</v>
      </c>
      <c r="BT41" s="975">
        <f t="shared" si="11"/>
        <v>1372242051.072</v>
      </c>
      <c r="BU41" s="691">
        <f t="shared" si="13"/>
        <v>1964262597.5583341</v>
      </c>
      <c r="BV41" s="183">
        <f t="shared" si="21"/>
        <v>5497558138.8800001</v>
      </c>
      <c r="BW41" s="949">
        <f t="shared" si="10"/>
        <v>2034</v>
      </c>
    </row>
    <row r="42" spans="1:75" x14ac:dyDescent="0.3">
      <c r="A42" s="690"/>
      <c r="B42" s="690"/>
      <c r="C42" s="1153">
        <f t="shared" si="23"/>
        <v>2048</v>
      </c>
      <c r="D42" s="899">
        <f t="shared" si="18"/>
        <v>21474836.48</v>
      </c>
      <c r="E42" s="899">
        <f t="shared" si="15"/>
        <v>43980465111.040001</v>
      </c>
      <c r="F42" s="898"/>
      <c r="G42" s="905" t="s">
        <v>732</v>
      </c>
      <c r="AK42" s="618" t="s">
        <v>1434</v>
      </c>
      <c r="AM42" s="1155" t="s">
        <v>1278</v>
      </c>
      <c r="AN42" s="1164">
        <v>0</v>
      </c>
      <c r="AO42" s="88"/>
      <c r="AP42" s="88"/>
      <c r="AQ42" s="253"/>
      <c r="AR42" s="88"/>
      <c r="AS42" s="181"/>
      <c r="AV42" s="12"/>
      <c r="BB42" s="332" t="s">
        <v>989</v>
      </c>
      <c r="BC42" s="953">
        <f t="shared" si="24"/>
        <v>2035</v>
      </c>
      <c r="BD42" s="691">
        <f t="shared" si="25"/>
        <v>120767699041545.91</v>
      </c>
      <c r="BE42" s="894">
        <f t="shared" si="26"/>
        <v>2.5000000000000001E-2</v>
      </c>
      <c r="BF42" s="691">
        <f t="shared" si="27"/>
        <v>3019192476038.6479</v>
      </c>
      <c r="BH42" s="76"/>
      <c r="BI42" s="953">
        <f t="shared" si="19"/>
        <v>2035</v>
      </c>
      <c r="BJ42" s="691">
        <f t="shared" si="22"/>
        <v>10737418.24</v>
      </c>
      <c r="BK42" s="987">
        <v>64</v>
      </c>
      <c r="BL42" s="875">
        <f t="shared" si="16"/>
        <v>687194767.36000001</v>
      </c>
      <c r="BM42" s="969"/>
      <c r="BN42" s="977"/>
      <c r="BO42" s="691">
        <f t="shared" si="17"/>
        <v>0</v>
      </c>
      <c r="BQ42" s="691">
        <f t="shared" si="7"/>
        <v>0</v>
      </c>
      <c r="BR42" s="691">
        <f t="shared" si="20"/>
        <v>10977936408.576</v>
      </c>
      <c r="BS42" s="894">
        <f t="shared" si="14"/>
        <v>0.125</v>
      </c>
      <c r="BT42" s="975">
        <f t="shared" si="11"/>
        <v>1372242051.072</v>
      </c>
      <c r="BU42" s="691">
        <f t="shared" si="13"/>
        <v>1964262597.5583341</v>
      </c>
      <c r="BV42" s="183">
        <f t="shared" si="21"/>
        <v>0</v>
      </c>
      <c r="BW42" s="949">
        <f t="shared" si="10"/>
        <v>2035</v>
      </c>
    </row>
    <row r="43" spans="1:75" x14ac:dyDescent="0.3">
      <c r="A43" s="690"/>
      <c r="B43" s="690"/>
      <c r="C43" s="1154">
        <f t="shared" si="23"/>
        <v>4096</v>
      </c>
      <c r="D43" s="906">
        <f t="shared" si="18"/>
        <v>21474836.48</v>
      </c>
      <c r="E43" s="906">
        <f t="shared" si="15"/>
        <v>87960930222.080002</v>
      </c>
      <c r="F43" s="907"/>
      <c r="G43" s="908" t="s">
        <v>732</v>
      </c>
      <c r="AM43" s="1155" t="s">
        <v>1161</v>
      </c>
      <c r="AN43" s="1164">
        <v>0</v>
      </c>
      <c r="AO43" s="88"/>
      <c r="AP43" s="1518">
        <f>AN48/AN32</f>
        <v>1780.4684163157629</v>
      </c>
      <c r="AQ43" s="253"/>
      <c r="AR43" s="88"/>
      <c r="AS43" s="181"/>
      <c r="AV43" s="12"/>
      <c r="BB43" s="332" t="s">
        <v>989</v>
      </c>
      <c r="BC43" s="953">
        <f t="shared" si="24"/>
        <v>2036</v>
      </c>
      <c r="BD43" s="691">
        <f t="shared" si="25"/>
        <v>123786891517584.55</v>
      </c>
      <c r="BE43" s="894">
        <f t="shared" si="26"/>
        <v>2.5000000000000001E-2</v>
      </c>
      <c r="BF43" s="691">
        <f t="shared" si="27"/>
        <v>3094672287939.6138</v>
      </c>
      <c r="BH43" s="76"/>
      <c r="BI43" s="953">
        <f t="shared" si="19"/>
        <v>2036</v>
      </c>
      <c r="BJ43" s="691">
        <f t="shared" si="22"/>
        <v>10737418.24</v>
      </c>
      <c r="BK43" s="987">
        <v>64</v>
      </c>
      <c r="BL43" s="875">
        <f t="shared" si="16"/>
        <v>687194767.36000001</v>
      </c>
      <c r="BM43" s="969"/>
      <c r="BN43" s="977"/>
      <c r="BO43" s="691">
        <f t="shared" si="17"/>
        <v>0</v>
      </c>
      <c r="BQ43" s="691">
        <f t="shared" si="7"/>
        <v>0</v>
      </c>
      <c r="BR43" s="691">
        <f t="shared" si="20"/>
        <v>10977936408.576</v>
      </c>
      <c r="BS43" s="894">
        <f t="shared" si="14"/>
        <v>0.125</v>
      </c>
      <c r="BT43" s="975">
        <f t="shared" si="11"/>
        <v>1372242051.072</v>
      </c>
      <c r="BU43" s="691">
        <f t="shared" si="13"/>
        <v>1964262597.5583341</v>
      </c>
      <c r="BV43" s="183">
        <f t="shared" si="21"/>
        <v>0</v>
      </c>
      <c r="BW43" s="949">
        <f t="shared" si="10"/>
        <v>2036</v>
      </c>
    </row>
    <row r="44" spans="1:75" x14ac:dyDescent="0.3">
      <c r="A44" s="690"/>
      <c r="B44" s="690"/>
      <c r="AK44" s="1162" t="s">
        <v>1433</v>
      </c>
      <c r="AL44" s="1160"/>
      <c r="AM44" s="1161" t="s">
        <v>1249</v>
      </c>
      <c r="AN44" s="1164">
        <v>0</v>
      </c>
      <c r="AO44" s="88"/>
      <c r="AP44" s="88">
        <f>AN48/8</f>
        <v>4779408512.2731962</v>
      </c>
      <c r="AQ44" s="253"/>
      <c r="AR44" s="88"/>
      <c r="AS44" s="181"/>
      <c r="AV44" s="12"/>
      <c r="BB44" s="332" t="s">
        <v>989</v>
      </c>
      <c r="BC44" s="953">
        <f t="shared" si="24"/>
        <v>2037</v>
      </c>
      <c r="BD44" s="691">
        <f t="shared" si="25"/>
        <v>126881563805524.16</v>
      </c>
      <c r="BE44" s="894">
        <f t="shared" si="26"/>
        <v>2.5000000000000001E-2</v>
      </c>
      <c r="BF44" s="691">
        <f t="shared" si="27"/>
        <v>3172039095138.104</v>
      </c>
      <c r="BH44" s="76"/>
      <c r="BI44" s="953">
        <f t="shared" si="19"/>
        <v>2037</v>
      </c>
      <c r="BJ44" s="691">
        <f t="shared" si="22"/>
        <v>10737418.24</v>
      </c>
      <c r="BK44" s="987">
        <v>64</v>
      </c>
      <c r="BL44" s="875">
        <f t="shared" si="16"/>
        <v>687194767.36000001</v>
      </c>
      <c r="BM44" s="969"/>
      <c r="BN44" s="977"/>
      <c r="BO44" s="691">
        <f t="shared" si="17"/>
        <v>0</v>
      </c>
      <c r="BQ44" s="691">
        <f t="shared" si="7"/>
        <v>0</v>
      </c>
      <c r="BR44" s="691">
        <f t="shared" si="20"/>
        <v>10977936408.576</v>
      </c>
      <c r="BS44" s="894">
        <f t="shared" si="14"/>
        <v>0.125</v>
      </c>
      <c r="BT44" s="975">
        <f t="shared" si="11"/>
        <v>1372242051.072</v>
      </c>
      <c r="BU44" s="691">
        <f t="shared" si="13"/>
        <v>1964262597.5583341</v>
      </c>
      <c r="BV44" s="183">
        <f t="shared" si="21"/>
        <v>0</v>
      </c>
      <c r="BW44" s="949">
        <f t="shared" si="10"/>
        <v>2037</v>
      </c>
    </row>
    <row r="45" spans="1:75" x14ac:dyDescent="0.3">
      <c r="A45" s="690"/>
      <c r="B45" s="690"/>
      <c r="AK45" s="1163" t="s">
        <v>1437</v>
      </c>
      <c r="AM45" s="1157" t="s">
        <v>148</v>
      </c>
      <c r="AN45" s="1164">
        <v>0</v>
      </c>
      <c r="AO45" s="88"/>
      <c r="AP45" s="88"/>
      <c r="AQ45" s="253"/>
      <c r="AR45" s="88"/>
      <c r="AS45" s="181"/>
      <c r="AV45" s="12"/>
      <c r="BB45" s="332" t="s">
        <v>989</v>
      </c>
      <c r="BC45" s="953">
        <f t="shared" si="24"/>
        <v>2038</v>
      </c>
      <c r="BD45" s="691">
        <f t="shared" si="25"/>
        <v>130053602900662.27</v>
      </c>
      <c r="BE45" s="894">
        <f t="shared" si="26"/>
        <v>2.5000000000000001E-2</v>
      </c>
      <c r="BF45" s="691">
        <f t="shared" si="27"/>
        <v>3251340072516.5566</v>
      </c>
      <c r="BH45" s="76"/>
      <c r="BI45" s="953">
        <f t="shared" si="19"/>
        <v>2038</v>
      </c>
      <c r="BJ45" s="691">
        <f t="shared" si="22"/>
        <v>10737418.24</v>
      </c>
      <c r="BK45" s="987">
        <v>64</v>
      </c>
      <c r="BL45" s="875">
        <f t="shared" si="16"/>
        <v>687194767.36000001</v>
      </c>
      <c r="BM45" s="969"/>
      <c r="BN45" s="977">
        <v>8</v>
      </c>
      <c r="BO45" s="691">
        <f t="shared" si="17"/>
        <v>0</v>
      </c>
      <c r="BQ45" s="691">
        <f t="shared" si="7"/>
        <v>0</v>
      </c>
      <c r="BR45" s="691">
        <f t="shared" si="20"/>
        <v>5480378269.6960001</v>
      </c>
      <c r="BS45" s="894">
        <f t="shared" si="14"/>
        <v>0.125</v>
      </c>
      <c r="BT45" s="975">
        <f t="shared" si="11"/>
        <v>685047283.71200001</v>
      </c>
      <c r="BU45" s="691">
        <f t="shared" si="13"/>
        <v>1964262597.5583341</v>
      </c>
      <c r="BV45" s="183">
        <f t="shared" si="21"/>
        <v>5497558138.8800001</v>
      </c>
      <c r="BW45" s="949">
        <f t="shared" si="10"/>
        <v>2038</v>
      </c>
    </row>
    <row r="46" spans="1:75" x14ac:dyDescent="0.3">
      <c r="A46" s="690"/>
      <c r="B46" s="690"/>
      <c r="AM46" s="1150" t="s">
        <v>948</v>
      </c>
      <c r="AN46" s="645">
        <v>0</v>
      </c>
      <c r="AO46" s="88"/>
      <c r="AP46" s="88"/>
      <c r="AQ46" s="253"/>
      <c r="AR46" s="88"/>
      <c r="AS46" s="181" t="s">
        <v>805</v>
      </c>
      <c r="AT46" s="1" t="s">
        <v>998</v>
      </c>
      <c r="AV46" s="19">
        <v>0.01</v>
      </c>
      <c r="BB46" s="332" t="s">
        <v>989</v>
      </c>
      <c r="BC46" s="953">
        <f t="shared" si="24"/>
        <v>2039</v>
      </c>
      <c r="BD46" s="691">
        <f t="shared" si="25"/>
        <v>133304942973178.83</v>
      </c>
      <c r="BE46" s="894">
        <f t="shared" si="26"/>
        <v>2.5000000000000001E-2</v>
      </c>
      <c r="BF46" s="691">
        <f t="shared" si="27"/>
        <v>3332623574329.4707</v>
      </c>
      <c r="BH46" s="76"/>
      <c r="BI46" s="953">
        <f t="shared" si="19"/>
        <v>2039</v>
      </c>
      <c r="BJ46" s="691">
        <f t="shared" si="22"/>
        <v>10737418.24</v>
      </c>
      <c r="BK46" s="987">
        <v>64</v>
      </c>
      <c r="BL46" s="875">
        <f t="shared" si="16"/>
        <v>687194767.36000001</v>
      </c>
      <c r="BM46" s="969"/>
      <c r="BN46" s="977"/>
      <c r="BO46" s="691">
        <f t="shared" si="17"/>
        <v>0</v>
      </c>
      <c r="BQ46" s="691">
        <f t="shared" si="7"/>
        <v>0</v>
      </c>
      <c r="BR46" s="691">
        <f t="shared" si="20"/>
        <v>5480378269.6960001</v>
      </c>
      <c r="BS46" s="894">
        <f t="shared" si="14"/>
        <v>0.125</v>
      </c>
      <c r="BT46" s="975">
        <f t="shared" si="11"/>
        <v>685047283.71200001</v>
      </c>
      <c r="BU46" s="691">
        <f t="shared" si="13"/>
        <v>1964262597.5583341</v>
      </c>
      <c r="BV46" s="183">
        <f t="shared" si="21"/>
        <v>0</v>
      </c>
      <c r="BW46" s="949">
        <f t="shared" si="10"/>
        <v>2039</v>
      </c>
    </row>
    <row r="47" spans="1:75" x14ac:dyDescent="0.3">
      <c r="K47" s="690"/>
      <c r="AM47" s="122" t="s">
        <v>1385</v>
      </c>
      <c r="AN47" s="183">
        <f>SUM(AN35:AN46)</f>
        <v>5497558138.8800001</v>
      </c>
      <c r="AO47" s="251"/>
      <c r="AP47" s="76" t="s">
        <v>805</v>
      </c>
      <c r="AQ47" s="691">
        <f>AE82</f>
        <v>6630548568.2489748</v>
      </c>
      <c r="AR47" s="76"/>
      <c r="AS47" s="691">
        <f>AQ47</f>
        <v>6630548568.2489748</v>
      </c>
      <c r="AT47" s="691">
        <f>BD31</f>
        <v>92042471679365.094</v>
      </c>
      <c r="AU47" s="76"/>
      <c r="AV47" s="736">
        <f>AT47*AV46</f>
        <v>920424716793.651</v>
      </c>
      <c r="AW47" s="76"/>
      <c r="AX47" s="208">
        <f>AV47/AS60</f>
        <v>28.828001172011774</v>
      </c>
      <c r="AY47" s="76"/>
      <c r="AZ47" s="76"/>
      <c r="BA47" s="76"/>
      <c r="BB47" s="332" t="s">
        <v>989</v>
      </c>
      <c r="BC47" s="953">
        <f t="shared" si="24"/>
        <v>2040</v>
      </c>
      <c r="BD47" s="691">
        <f t="shared" si="25"/>
        <v>136637566547508.3</v>
      </c>
      <c r="BE47" s="894">
        <f t="shared" si="26"/>
        <v>2.5000000000000001E-2</v>
      </c>
      <c r="BF47" s="691">
        <f t="shared" si="27"/>
        <v>3415939163687.7075</v>
      </c>
      <c r="BH47" s="76"/>
      <c r="BI47" s="953">
        <f t="shared" si="19"/>
        <v>2040</v>
      </c>
      <c r="BJ47" s="691">
        <f t="shared" si="22"/>
        <v>10737418.24</v>
      </c>
      <c r="BK47" s="987">
        <v>64</v>
      </c>
      <c r="BL47" s="875">
        <f t="shared" si="16"/>
        <v>687194767.36000001</v>
      </c>
      <c r="BM47" s="969"/>
      <c r="BN47" s="977"/>
      <c r="BO47" s="691">
        <f t="shared" si="17"/>
        <v>0</v>
      </c>
      <c r="BQ47" s="691">
        <f t="shared" si="7"/>
        <v>0</v>
      </c>
      <c r="BR47" s="691">
        <f t="shared" si="20"/>
        <v>5480378269.6960001</v>
      </c>
      <c r="BS47" s="894">
        <f t="shared" si="14"/>
        <v>0.125</v>
      </c>
      <c r="BT47" s="975">
        <f t="shared" si="11"/>
        <v>685047283.71200001</v>
      </c>
      <c r="BU47" s="691">
        <f t="shared" si="13"/>
        <v>1964262597.5583341</v>
      </c>
      <c r="BV47" s="183">
        <f t="shared" si="21"/>
        <v>0</v>
      </c>
      <c r="BW47" s="949">
        <f t="shared" si="10"/>
        <v>2040</v>
      </c>
    </row>
    <row r="48" spans="1:75" ht="16.2" thickBot="1" x14ac:dyDescent="0.35">
      <c r="AM48" s="1150" t="s">
        <v>309</v>
      </c>
      <c r="AN48" s="182">
        <f>AN47*AN34</f>
        <v>38235268098.18557</v>
      </c>
      <c r="AR48" s="565" t="s">
        <v>894</v>
      </c>
      <c r="AS48" s="208">
        <f>AS32/AS47</f>
        <v>3.8153103278577185</v>
      </c>
      <c r="AT48" s="367"/>
      <c r="AV48" s="192">
        <f>AS60</f>
        <v>31928149000.051495</v>
      </c>
      <c r="AW48" s="193"/>
      <c r="AX48" s="1" t="s">
        <v>1339</v>
      </c>
      <c r="BB48" s="332" t="s">
        <v>989</v>
      </c>
      <c r="BC48" s="953">
        <f t="shared" si="24"/>
        <v>2041</v>
      </c>
      <c r="BD48" s="691">
        <f t="shared" si="25"/>
        <v>140053505711196</v>
      </c>
      <c r="BE48" s="894">
        <f t="shared" si="26"/>
        <v>2.5000000000000001E-2</v>
      </c>
      <c r="BF48" s="691">
        <f t="shared" si="27"/>
        <v>3501337642779.9004</v>
      </c>
      <c r="BH48" s="76"/>
      <c r="BI48" s="953">
        <f t="shared" si="19"/>
        <v>2041</v>
      </c>
      <c r="BJ48" s="691">
        <f t="shared" si="22"/>
        <v>10737418.24</v>
      </c>
      <c r="BK48" s="987">
        <v>64</v>
      </c>
      <c r="BL48" s="875">
        <f t="shared" si="16"/>
        <v>687194767.36000001</v>
      </c>
      <c r="BM48" s="969"/>
      <c r="BN48" s="977"/>
      <c r="BO48" s="691">
        <f t="shared" si="17"/>
        <v>0</v>
      </c>
      <c r="BQ48" s="691">
        <f t="shared" si="7"/>
        <v>0</v>
      </c>
      <c r="BR48" s="691">
        <f t="shared" si="20"/>
        <v>5480378269.6960001</v>
      </c>
      <c r="BS48" s="894">
        <f t="shared" si="14"/>
        <v>0.125</v>
      </c>
      <c r="BT48" s="975">
        <f t="shared" si="11"/>
        <v>685047283.71200001</v>
      </c>
      <c r="BU48" s="691">
        <f t="shared" si="13"/>
        <v>1964262597.5583341</v>
      </c>
      <c r="BV48" s="183">
        <f t="shared" si="21"/>
        <v>0</v>
      </c>
      <c r="BW48" s="949">
        <f t="shared" si="10"/>
        <v>2041</v>
      </c>
    </row>
    <row r="49" spans="3:75" ht="16.2" thickBot="1" x14ac:dyDescent="0.35">
      <c r="C49" s="1" t="s">
        <v>801</v>
      </c>
      <c r="AM49" s="1150" t="s">
        <v>308</v>
      </c>
      <c r="AN49" s="182">
        <f>AN48*AO49</f>
        <v>25297600431.802521</v>
      </c>
      <c r="AO49" s="1268">
        <v>0.66163000000000005</v>
      </c>
      <c r="AP49" s="1" t="s">
        <v>1496</v>
      </c>
      <c r="AR49" s="565" t="s">
        <v>888</v>
      </c>
      <c r="AS49" s="953">
        <v>8</v>
      </c>
      <c r="AT49" s="1" t="s">
        <v>889</v>
      </c>
      <c r="AX49" s="1" t="s">
        <v>1340</v>
      </c>
      <c r="BB49" s="332" t="s">
        <v>989</v>
      </c>
      <c r="BC49" s="953">
        <f t="shared" si="24"/>
        <v>2042</v>
      </c>
      <c r="BD49" s="691">
        <f t="shared" si="25"/>
        <v>143554843353975.91</v>
      </c>
      <c r="BE49" s="894">
        <f t="shared" si="26"/>
        <v>2.5000000000000001E-2</v>
      </c>
      <c r="BF49" s="691">
        <f t="shared" si="27"/>
        <v>3588871083849.3979</v>
      </c>
      <c r="BH49" s="76"/>
      <c r="BI49" s="953">
        <f t="shared" si="19"/>
        <v>2042</v>
      </c>
      <c r="BJ49" s="691">
        <f t="shared" si="22"/>
        <v>10737418.24</v>
      </c>
      <c r="BK49" s="987">
        <v>64</v>
      </c>
      <c r="BL49" s="875">
        <f t="shared" si="16"/>
        <v>687194767.36000001</v>
      </c>
      <c r="BM49" s="969"/>
      <c r="BN49" s="977">
        <v>8</v>
      </c>
      <c r="BO49" s="691">
        <f t="shared" si="17"/>
        <v>0</v>
      </c>
      <c r="BQ49" s="691">
        <f t="shared" si="7"/>
        <v>0</v>
      </c>
      <c r="BR49" s="691">
        <f t="shared" si="20"/>
        <v>-17179869.184000015</v>
      </c>
      <c r="BS49" s="894">
        <f t="shared" si="14"/>
        <v>0.125</v>
      </c>
      <c r="BT49" s="975">
        <f t="shared" si="11"/>
        <v>-2147483.6480000019</v>
      </c>
      <c r="BU49" s="691">
        <f t="shared" si="13"/>
        <v>1964262597.5583341</v>
      </c>
      <c r="BV49" s="183">
        <f t="shared" si="21"/>
        <v>5497558138.8800001</v>
      </c>
      <c r="BW49" s="949">
        <f t="shared" si="10"/>
        <v>2042</v>
      </c>
    </row>
    <row r="50" spans="3:75" x14ac:dyDescent="0.3">
      <c r="C50" s="13"/>
      <c r="D50" s="4"/>
      <c r="E50" s="120" t="s">
        <v>275</v>
      </c>
      <c r="F50" s="4"/>
      <c r="G50" s="173" t="s">
        <v>288</v>
      </c>
      <c r="H50" s="462" t="s">
        <v>1367</v>
      </c>
      <c r="I50" s="170" t="s">
        <v>1373</v>
      </c>
      <c r="J50" s="175" t="s">
        <v>297</v>
      </c>
      <c r="K50" s="170" t="s">
        <v>802</v>
      </c>
      <c r="AN50" s="239"/>
      <c r="AP50" s="1" t="s">
        <v>1276</v>
      </c>
      <c r="AR50" s="565" t="s">
        <v>890</v>
      </c>
      <c r="AS50" s="208">
        <f>AS48/AS49</f>
        <v>0.47691379098221481</v>
      </c>
      <c r="BB50" s="332" t="s">
        <v>989</v>
      </c>
      <c r="BC50" s="953">
        <f t="shared" si="24"/>
        <v>2043</v>
      </c>
      <c r="BD50" s="691">
        <f t="shared" si="25"/>
        <v>147143714437825.31</v>
      </c>
      <c r="BE50" s="894">
        <f t="shared" si="26"/>
        <v>2.5000000000000001E-2</v>
      </c>
      <c r="BF50" s="691">
        <f t="shared" si="27"/>
        <v>3678592860945.6328</v>
      </c>
      <c r="BH50" s="76"/>
      <c r="BI50" s="953">
        <f t="shared" si="19"/>
        <v>2043</v>
      </c>
      <c r="BJ50" s="691">
        <f t="shared" si="22"/>
        <v>10737418.24</v>
      </c>
      <c r="BK50" s="987">
        <v>64</v>
      </c>
      <c r="BL50" s="875">
        <f t="shared" si="16"/>
        <v>687194767.36000001</v>
      </c>
      <c r="BM50" s="969"/>
      <c r="BN50" s="977"/>
      <c r="BO50" s="691">
        <f t="shared" si="17"/>
        <v>0</v>
      </c>
      <c r="BQ50" s="691">
        <f t="shared" si="7"/>
        <v>0</v>
      </c>
      <c r="BR50" s="691">
        <f t="shared" si="20"/>
        <v>-17179869.184000015</v>
      </c>
      <c r="BS50" s="894">
        <f t="shared" si="14"/>
        <v>0.125</v>
      </c>
      <c r="BT50" s="975">
        <f t="shared" si="11"/>
        <v>-2147483.6480000019</v>
      </c>
      <c r="BU50" s="691">
        <f t="shared" si="13"/>
        <v>1964262597.5583341</v>
      </c>
      <c r="BV50" s="183">
        <f t="shared" si="21"/>
        <v>0</v>
      </c>
      <c r="BW50" s="949">
        <f t="shared" si="10"/>
        <v>2043</v>
      </c>
    </row>
    <row r="51" spans="3:75" x14ac:dyDescent="0.3">
      <c r="C51" s="122"/>
      <c r="D51" s="7"/>
      <c r="E51" s="875">
        <f>E8</f>
        <v>21474836.48</v>
      </c>
      <c r="F51" s="7"/>
      <c r="G51" s="468" t="s">
        <v>1386</v>
      </c>
      <c r="H51" s="469"/>
      <c r="I51" s="470"/>
      <c r="J51" s="471"/>
      <c r="K51" s="470"/>
      <c r="AN51" s="277" t="s">
        <v>748</v>
      </c>
      <c r="AR51" s="239"/>
      <c r="AS51" s="76"/>
      <c r="BB51" s="332" t="s">
        <v>989</v>
      </c>
      <c r="BC51" s="953">
        <f t="shared" si="24"/>
        <v>2044</v>
      </c>
      <c r="BD51" s="691">
        <f t="shared" si="25"/>
        <v>150822307298770.94</v>
      </c>
      <c r="BE51" s="894">
        <f t="shared" si="26"/>
        <v>2.5000000000000001E-2</v>
      </c>
      <c r="BF51" s="691">
        <f t="shared" si="27"/>
        <v>3770557682469.2734</v>
      </c>
      <c r="BH51" s="76"/>
      <c r="BI51" s="953">
        <f t="shared" si="19"/>
        <v>2044</v>
      </c>
      <c r="BJ51" s="691">
        <f t="shared" si="22"/>
        <v>10737418.24</v>
      </c>
      <c r="BK51" s="987">
        <v>64</v>
      </c>
      <c r="BL51" s="875">
        <f t="shared" si="16"/>
        <v>687194767.36000001</v>
      </c>
      <c r="BM51" s="969"/>
      <c r="BN51" s="977"/>
      <c r="BO51" s="691">
        <f t="shared" si="17"/>
        <v>0</v>
      </c>
      <c r="BQ51" s="691">
        <f t="shared" si="7"/>
        <v>0</v>
      </c>
      <c r="BR51" s="691">
        <f t="shared" si="20"/>
        <v>-17179869.184000015</v>
      </c>
      <c r="BS51" s="894">
        <f t="shared" si="14"/>
        <v>0.125</v>
      </c>
      <c r="BT51" s="975">
        <f t="shared" si="11"/>
        <v>-2147483.6480000019</v>
      </c>
      <c r="BU51" s="691">
        <f t="shared" si="13"/>
        <v>1964262597.5583341</v>
      </c>
      <c r="BV51" s="183">
        <f t="shared" si="21"/>
        <v>0</v>
      </c>
      <c r="BW51" s="949">
        <f t="shared" si="10"/>
        <v>2044</v>
      </c>
    </row>
    <row r="52" spans="3:75" ht="16.2" thickBot="1" x14ac:dyDescent="0.35">
      <c r="C52" s="122"/>
      <c r="D52" s="7"/>
      <c r="E52" s="7"/>
      <c r="F52" s="127"/>
      <c r="G52" s="127" t="s">
        <v>280</v>
      </c>
      <c r="H52" s="7"/>
      <c r="I52" s="459" t="s">
        <v>282</v>
      </c>
      <c r="J52" s="122"/>
      <c r="K52" s="8"/>
      <c r="AN52" s="1252" t="s">
        <v>1491</v>
      </c>
      <c r="AO52" s="4"/>
      <c r="AP52" s="1255" t="s">
        <v>746</v>
      </c>
      <c r="AQ52" s="5"/>
      <c r="AR52" s="565" t="s">
        <v>891</v>
      </c>
      <c r="AS52" s="76"/>
      <c r="BB52" s="332" t="s">
        <v>989</v>
      </c>
      <c r="BC52" s="953">
        <f t="shared" si="24"/>
        <v>2045</v>
      </c>
      <c r="BD52" s="691">
        <f t="shared" si="25"/>
        <v>154592864981240.22</v>
      </c>
      <c r="BE52" s="894">
        <f t="shared" si="26"/>
        <v>2.5000000000000001E-2</v>
      </c>
      <c r="BF52" s="691">
        <f t="shared" si="27"/>
        <v>3864821624531.0059</v>
      </c>
      <c r="BH52" s="76"/>
      <c r="BI52" s="953">
        <f t="shared" si="19"/>
        <v>2045</v>
      </c>
      <c r="BJ52" s="691">
        <f t="shared" si="22"/>
        <v>10737418.24</v>
      </c>
      <c r="BK52" s="987">
        <v>64</v>
      </c>
      <c r="BL52" s="875">
        <f t="shared" si="16"/>
        <v>687194767.36000001</v>
      </c>
      <c r="BM52" s="969"/>
      <c r="BN52" s="977"/>
      <c r="BO52" s="691">
        <f t="shared" si="17"/>
        <v>0</v>
      </c>
      <c r="BQ52" s="691">
        <f t="shared" si="7"/>
        <v>0</v>
      </c>
      <c r="BR52" s="691">
        <f t="shared" si="20"/>
        <v>-17179869.184000015</v>
      </c>
      <c r="BS52" s="894">
        <f t="shared" si="14"/>
        <v>0.125</v>
      </c>
      <c r="BT52" s="975">
        <f t="shared" si="11"/>
        <v>-2147483.6480000019</v>
      </c>
      <c r="BU52" s="691">
        <f t="shared" si="13"/>
        <v>1964262597.5583341</v>
      </c>
      <c r="BV52" s="183">
        <f t="shared" si="21"/>
        <v>0</v>
      </c>
      <c r="BW52" s="949">
        <f t="shared" si="10"/>
        <v>2045</v>
      </c>
    </row>
    <row r="53" spans="3:75" ht="16.2" thickBot="1" x14ac:dyDescent="0.35">
      <c r="C53" s="122"/>
      <c r="D53" s="7"/>
      <c r="E53" s="7"/>
      <c r="F53" s="129">
        <v>0.25</v>
      </c>
      <c r="G53" s="130">
        <f>E57*F53</f>
        <v>503316.47999999998</v>
      </c>
      <c r="H53" s="460">
        <v>0.5</v>
      </c>
      <c r="I53" s="130">
        <f>G53*H53</f>
        <v>251658.23999999999</v>
      </c>
      <c r="J53" s="460">
        <v>0.05</v>
      </c>
      <c r="K53" s="458">
        <f>I53*J53</f>
        <v>12582.912</v>
      </c>
      <c r="AL53" s="933">
        <f>AO53</f>
        <v>256</v>
      </c>
      <c r="AM53" s="927" t="s">
        <v>745</v>
      </c>
      <c r="AN53" s="1256">
        <f>AP53*AO53</f>
        <v>5497558138.8800001</v>
      </c>
      <c r="AO53" s="934">
        <v>256</v>
      </c>
      <c r="AP53" s="1253">
        <f>'POP Dimensions'!J15</f>
        <v>21474836.48</v>
      </c>
      <c r="AQ53" s="1254"/>
      <c r="AR53" s="565" t="s">
        <v>901</v>
      </c>
      <c r="AS53" s="484">
        <v>0.17</v>
      </c>
      <c r="AT53" s="1" t="s">
        <v>895</v>
      </c>
      <c r="BB53" s="332" t="s">
        <v>989</v>
      </c>
      <c r="BC53" s="953">
        <f t="shared" si="24"/>
        <v>2046</v>
      </c>
      <c r="BD53" s="691">
        <f t="shared" si="25"/>
        <v>158457686605771.22</v>
      </c>
      <c r="BE53" s="894">
        <f t="shared" si="26"/>
        <v>2.5000000000000001E-2</v>
      </c>
      <c r="BF53" s="691">
        <f t="shared" si="27"/>
        <v>3961442165144.2808</v>
      </c>
      <c r="BH53" s="76"/>
      <c r="BI53" s="953">
        <f t="shared" si="19"/>
        <v>2046</v>
      </c>
      <c r="BJ53" s="691">
        <f t="shared" si="22"/>
        <v>10737418.24</v>
      </c>
      <c r="BK53" s="987">
        <v>64</v>
      </c>
      <c r="BL53" s="875">
        <f t="shared" si="16"/>
        <v>687194767.36000001</v>
      </c>
      <c r="BM53" s="969"/>
      <c r="BN53" s="977"/>
      <c r="BO53" s="691">
        <f t="shared" si="17"/>
        <v>0</v>
      </c>
      <c r="BQ53" s="691">
        <f t="shared" si="7"/>
        <v>0</v>
      </c>
      <c r="BR53" s="691">
        <f t="shared" si="20"/>
        <v>-17179869.184000015</v>
      </c>
      <c r="BS53" s="894">
        <f t="shared" si="14"/>
        <v>0.125</v>
      </c>
      <c r="BT53" s="975">
        <f t="shared" si="11"/>
        <v>-2147483.6480000019</v>
      </c>
      <c r="BU53" s="691">
        <f t="shared" si="13"/>
        <v>1964262597.5583341</v>
      </c>
      <c r="BV53" s="183">
        <f t="shared" si="21"/>
        <v>0</v>
      </c>
      <c r="BW53" s="949">
        <f t="shared" si="10"/>
        <v>2046</v>
      </c>
    </row>
    <row r="54" spans="3:75" ht="16.2" thickBot="1" x14ac:dyDescent="0.35">
      <c r="C54" s="122"/>
      <c r="D54" s="7"/>
      <c r="E54" s="7"/>
      <c r="F54" s="133"/>
      <c r="G54" s="134" t="s">
        <v>290</v>
      </c>
      <c r="H54" s="7"/>
      <c r="I54" s="457" t="s">
        <v>283</v>
      </c>
      <c r="J54" s="122"/>
      <c r="K54" s="8"/>
      <c r="AL54" s="927"/>
      <c r="AN54" s="1257" t="s">
        <v>1355</v>
      </c>
      <c r="AO54" s="1258"/>
      <c r="AP54" s="255" t="s">
        <v>1290</v>
      </c>
      <c r="AQ54" s="8"/>
      <c r="AR54" s="566"/>
      <c r="AS54" s="76"/>
      <c r="BB54" s="332" t="s">
        <v>989</v>
      </c>
      <c r="BC54" s="953">
        <f t="shared" si="24"/>
        <v>2047</v>
      </c>
      <c r="BD54" s="691">
        <f t="shared" si="25"/>
        <v>162419128770915.5</v>
      </c>
      <c r="BE54" s="894">
        <f t="shared" si="26"/>
        <v>2.5000000000000001E-2</v>
      </c>
      <c r="BF54" s="691">
        <f t="shared" si="27"/>
        <v>4060478219272.8877</v>
      </c>
      <c r="BH54" s="76"/>
      <c r="BI54" s="953">
        <f t="shared" si="19"/>
        <v>2047</v>
      </c>
      <c r="BJ54" s="691">
        <f t="shared" si="22"/>
        <v>10737418.24</v>
      </c>
      <c r="BK54" s="987">
        <v>64</v>
      </c>
      <c r="BL54" s="875">
        <f t="shared" si="16"/>
        <v>687194767.36000001</v>
      </c>
      <c r="BM54" s="969"/>
      <c r="BN54" s="977"/>
      <c r="BO54" s="691">
        <f t="shared" si="17"/>
        <v>0</v>
      </c>
      <c r="BQ54" s="691">
        <f t="shared" si="7"/>
        <v>0</v>
      </c>
      <c r="BR54" s="691">
        <f t="shared" si="20"/>
        <v>-17179869.184000015</v>
      </c>
      <c r="BS54" s="894">
        <f t="shared" si="14"/>
        <v>0.125</v>
      </c>
      <c r="BT54" s="975">
        <f t="shared" si="11"/>
        <v>-2147483.6480000019</v>
      </c>
      <c r="BU54" s="691">
        <f t="shared" si="13"/>
        <v>1964262597.5583341</v>
      </c>
      <c r="BV54" s="183">
        <f t="shared" si="21"/>
        <v>0</v>
      </c>
      <c r="BW54" s="949">
        <f t="shared" si="10"/>
        <v>2047</v>
      </c>
    </row>
    <row r="55" spans="3:75" ht="16.2" thickBot="1" x14ac:dyDescent="0.35">
      <c r="C55" s="122"/>
      <c r="D55" s="7"/>
      <c r="E55" s="7"/>
      <c r="F55" s="133">
        <v>0.25</v>
      </c>
      <c r="G55" s="135">
        <f>E57*F55</f>
        <v>503316.47999999998</v>
      </c>
      <c r="H55" s="461">
        <v>0.9</v>
      </c>
      <c r="I55" s="135">
        <f>G55*H55</f>
        <v>452984.83199999999</v>
      </c>
      <c r="J55" s="461">
        <v>0.05</v>
      </c>
      <c r="K55" s="440">
        <f>I55*J55</f>
        <v>22649.241600000001</v>
      </c>
      <c r="AL55" s="239"/>
      <c r="AN55" s="1002" t="s">
        <v>867</v>
      </c>
      <c r="AO55" s="1258"/>
      <c r="AP55" s="255"/>
      <c r="AQ55" s="8"/>
      <c r="AR55" s="239"/>
      <c r="AS55" s="484">
        <v>0.17</v>
      </c>
      <c r="AT55" s="32">
        <f>AS55</f>
        <v>0.17</v>
      </c>
      <c r="BB55" s="332" t="s">
        <v>989</v>
      </c>
      <c r="BC55" s="953">
        <f t="shared" si="24"/>
        <v>2048</v>
      </c>
      <c r="BD55" s="691">
        <f t="shared" si="25"/>
        <v>166479606990188.38</v>
      </c>
      <c r="BE55" s="894">
        <f t="shared" si="26"/>
        <v>2.5000000000000001E-2</v>
      </c>
      <c r="BF55" s="691">
        <f t="shared" si="27"/>
        <v>4161990174754.7095</v>
      </c>
      <c r="BG55" s="895" t="s">
        <v>1280</v>
      </c>
      <c r="BH55" s="76"/>
      <c r="BI55" s="953">
        <f t="shared" si="19"/>
        <v>2048</v>
      </c>
      <c r="BJ55" s="691">
        <f t="shared" si="22"/>
        <v>10737418.24</v>
      </c>
      <c r="BK55" s="987">
        <v>64</v>
      </c>
      <c r="BL55" s="875">
        <f t="shared" si="16"/>
        <v>687194767.36000001</v>
      </c>
      <c r="BM55" s="969"/>
      <c r="BN55" s="977"/>
      <c r="BO55" s="691">
        <f t="shared" si="17"/>
        <v>0</v>
      </c>
      <c r="BQ55" s="691">
        <f t="shared" si="7"/>
        <v>0</v>
      </c>
      <c r="BR55" s="691">
        <f t="shared" si="20"/>
        <v>-17179869.184000015</v>
      </c>
      <c r="BS55" s="894">
        <f t="shared" si="14"/>
        <v>0.125</v>
      </c>
      <c r="BT55" s="975">
        <f t="shared" si="11"/>
        <v>-2147483.6480000019</v>
      </c>
      <c r="BU55" s="691">
        <f t="shared" si="13"/>
        <v>1964262597.5583341</v>
      </c>
      <c r="BV55" s="183">
        <f t="shared" si="21"/>
        <v>0</v>
      </c>
      <c r="BW55" s="949">
        <f t="shared" si="10"/>
        <v>2048</v>
      </c>
    </row>
    <row r="56" spans="3:75" ht="18.600000000000001" thickBot="1" x14ac:dyDescent="0.4">
      <c r="C56" s="122"/>
      <c r="D56" s="7"/>
      <c r="E56" s="7"/>
      <c r="F56" s="136"/>
      <c r="G56" s="136" t="s">
        <v>279</v>
      </c>
      <c r="H56" s="7"/>
      <c r="I56" s="451" t="s">
        <v>284</v>
      </c>
      <c r="J56" s="122"/>
      <c r="K56" s="8"/>
      <c r="S56" s="88"/>
      <c r="AL56" s="239"/>
      <c r="AN56" s="719">
        <f>AN48-AN53</f>
        <v>32737709959.305569</v>
      </c>
      <c r="AO56" s="255"/>
      <c r="AP56" s="255"/>
      <c r="AQ56" s="1259"/>
      <c r="AR56" s="239" t="s">
        <v>892</v>
      </c>
      <c r="AS56" s="615">
        <f>AT58</f>
        <v>2.8053752410718515</v>
      </c>
      <c r="AT56" s="569" t="s">
        <v>980</v>
      </c>
      <c r="AU56" s="569"/>
      <c r="AV56" s="181"/>
      <c r="AW56" s="181"/>
      <c r="AX56" s="252"/>
      <c r="AY56" s="252"/>
      <c r="AZ56" s="252"/>
      <c r="BA56" s="252"/>
      <c r="BG56" s="1"/>
      <c r="BM56" s="979">
        <f>SUM(BM22:BM55)</f>
        <v>23.975000000000001</v>
      </c>
      <c r="BN56" s="979">
        <f>SUM(BN22:BN55)</f>
        <v>24</v>
      </c>
    </row>
    <row r="57" spans="3:75" ht="16.8" thickTop="1" thickBot="1" x14ac:dyDescent="0.35">
      <c r="C57" s="137" t="s">
        <v>291</v>
      </c>
      <c r="D57" s="138">
        <f>E57/E51</f>
        <v>9.375E-2</v>
      </c>
      <c r="E57" s="139">
        <f>E14</f>
        <v>2013265.9199999999</v>
      </c>
      <c r="F57" s="140">
        <v>0.5</v>
      </c>
      <c r="G57" s="139">
        <f>E57*F57</f>
        <v>1006632.96</v>
      </c>
      <c r="H57" s="463">
        <v>0.95</v>
      </c>
      <c r="I57" s="139">
        <f>G57*H57</f>
        <v>956301.31199999992</v>
      </c>
      <c r="J57" s="463">
        <v>0.05</v>
      </c>
      <c r="K57" s="441">
        <f>I57*J57</f>
        <v>47815.065600000002</v>
      </c>
      <c r="S57" s="88"/>
      <c r="T57" s="253"/>
      <c r="U57" s="253"/>
      <c r="V57" s="253"/>
      <c r="W57" s="253"/>
      <c r="X57" s="253"/>
      <c r="Y57" s="253"/>
      <c r="Z57" s="253"/>
      <c r="AA57" s="253"/>
      <c r="AB57" s="253"/>
      <c r="AC57" s="253"/>
      <c r="AD57" s="253"/>
      <c r="AE57" s="253"/>
      <c r="AF57" s="253"/>
      <c r="AG57" s="253"/>
      <c r="AH57" s="253"/>
      <c r="AI57" s="253"/>
      <c r="AJ57" s="253"/>
      <c r="AK57" s="253"/>
      <c r="AL57" s="248"/>
      <c r="AM57" s="937" t="s">
        <v>1293</v>
      </c>
      <c r="AN57" s="1003"/>
      <c r="AO57" s="255"/>
      <c r="AP57" s="1260" t="s">
        <v>1293</v>
      </c>
      <c r="AQ57" s="456"/>
      <c r="AR57" s="239"/>
      <c r="AS57" s="208">
        <f>AS50</f>
        <v>0.47691379098221481</v>
      </c>
      <c r="AT57" s="80">
        <f>AS57</f>
        <v>0.47691379098221481</v>
      </c>
      <c r="BQ57" s="77" t="s">
        <v>966</v>
      </c>
      <c r="BR57" s="77"/>
      <c r="BS57" s="77" t="s">
        <v>965</v>
      </c>
      <c r="BT57" s="77"/>
      <c r="BU57" s="77"/>
    </row>
    <row r="58" spans="3:75"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7" t="s">
        <v>1294</v>
      </c>
      <c r="AN58" s="996">
        <f>AN56*AO58</f>
        <v>1964262597.5583341</v>
      </c>
      <c r="AO58" s="923">
        <v>0.06</v>
      </c>
      <c r="AP58" s="924" t="s">
        <v>1443</v>
      </c>
      <c r="AQ58" s="925"/>
      <c r="AR58" s="239"/>
      <c r="AS58" s="76"/>
      <c r="AT58" s="1">
        <f>AT57/AT55</f>
        <v>2.8053752410718515</v>
      </c>
      <c r="BQ58" s="77" t="s">
        <v>785</v>
      </c>
      <c r="BR58" s="77"/>
      <c r="BS58" s="77" t="s">
        <v>962</v>
      </c>
      <c r="BT58" s="77"/>
      <c r="BU58" s="77"/>
    </row>
    <row r="59" spans="3:75"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76"/>
      <c r="AK59" s="410"/>
      <c r="AL59" s="928"/>
      <c r="AM59" s="948" t="s">
        <v>1295</v>
      </c>
      <c r="AN59" s="911">
        <f>AN56*AO59</f>
        <v>1636885497.9652786</v>
      </c>
      <c r="AO59" s="912">
        <v>0.05</v>
      </c>
      <c r="AP59" s="875" t="s">
        <v>1162</v>
      </c>
      <c r="AQ59" s="126"/>
      <c r="AR59" s="239"/>
      <c r="AS59" s="76"/>
      <c r="AX59" s="32"/>
    </row>
    <row r="60" spans="3:75" ht="16.2" thickBot="1" x14ac:dyDescent="0.35">
      <c r="C60" s="397" t="s">
        <v>276</v>
      </c>
      <c r="D60" s="398">
        <f>100%-D57-D63</f>
        <v>0.63099980959668756</v>
      </c>
      <c r="E60" s="399">
        <f>E51*D60</f>
        <v>13550617.73</v>
      </c>
      <c r="F60" s="400">
        <v>1</v>
      </c>
      <c r="G60" s="399">
        <f>E60*F60</f>
        <v>13550617.73</v>
      </c>
      <c r="H60" s="464">
        <v>0.9</v>
      </c>
      <c r="I60" s="399">
        <f>G60*H60</f>
        <v>12195555.957</v>
      </c>
      <c r="J60" s="464">
        <v>0.05</v>
      </c>
      <c r="K60" s="453">
        <f>I60*J60</f>
        <v>609777.79785000009</v>
      </c>
      <c r="S60" s="88"/>
      <c r="Y60" s="238"/>
      <c r="Z60" s="238"/>
      <c r="AA60" s="238"/>
      <c r="AB60" s="238"/>
      <c r="AC60" s="238"/>
      <c r="AD60" s="238"/>
      <c r="AE60" s="238"/>
      <c r="AF60" s="238"/>
      <c r="AG60" s="238"/>
      <c r="AH60" s="238"/>
      <c r="AI60" s="238"/>
      <c r="AJ60" s="76"/>
      <c r="AK60" s="76"/>
      <c r="AL60" s="239"/>
      <c r="AM60" s="948" t="s">
        <v>1296</v>
      </c>
      <c r="AN60" s="911">
        <f>AN56*AO60</f>
        <v>1309508398.3722227</v>
      </c>
      <c r="AO60" s="912">
        <v>0.04</v>
      </c>
      <c r="AP60" s="875" t="s">
        <v>1441</v>
      </c>
      <c r="AQ60" s="126"/>
      <c r="AR60" s="239"/>
      <c r="AS60" s="691">
        <f>AS32+AS47</f>
        <v>31928149000.051495</v>
      </c>
      <c r="AT60" s="1" t="s">
        <v>958</v>
      </c>
      <c r="BG60" s="1"/>
      <c r="BK60" s="1"/>
      <c r="BV60" s="1"/>
      <c r="BW60" s="1"/>
    </row>
    <row r="61" spans="3:75" x14ac:dyDescent="0.3">
      <c r="C61" s="403"/>
      <c r="D61" s="118"/>
      <c r="E61" s="837"/>
      <c r="F61" s="7"/>
      <c r="G61" s="7"/>
      <c r="H61" s="7"/>
      <c r="I61" s="8"/>
      <c r="J61" s="122"/>
      <c r="K61" s="8"/>
      <c r="S61" s="88"/>
      <c r="Y61" s="238"/>
      <c r="Z61" s="238"/>
      <c r="AA61" s="238"/>
      <c r="AB61" s="238"/>
      <c r="AC61" s="238"/>
      <c r="AD61" s="238"/>
      <c r="AE61" s="238"/>
      <c r="AF61" s="238"/>
      <c r="AG61" s="238"/>
      <c r="AH61" s="238"/>
      <c r="AI61" s="238"/>
      <c r="AJ61" s="76"/>
      <c r="AK61" s="410"/>
      <c r="AL61" s="927"/>
      <c r="AM61" s="948" t="s">
        <v>1297</v>
      </c>
      <c r="AN61" s="911">
        <f>AN56*AO61</f>
        <v>1964262597.5583341</v>
      </c>
      <c r="AO61" s="912">
        <v>0.06</v>
      </c>
      <c r="AP61" s="875" t="s">
        <v>1303</v>
      </c>
      <c r="AQ61" s="126"/>
      <c r="AR61" s="253"/>
      <c r="AS61" s="647">
        <f>AS60/AS47</f>
        <v>4.8153103278577181</v>
      </c>
    </row>
    <row r="62" spans="3:75"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76"/>
      <c r="AK62" s="76"/>
      <c r="AL62" s="239"/>
      <c r="AM62" s="948" t="s">
        <v>1300</v>
      </c>
      <c r="AN62" s="911">
        <f>AN56*AO62</f>
        <v>1964262597.5583341</v>
      </c>
      <c r="AO62" s="912">
        <v>0.06</v>
      </c>
      <c r="AP62" s="410" t="s">
        <v>1442</v>
      </c>
      <c r="AQ62" s="126"/>
      <c r="AR62" s="253"/>
    </row>
    <row r="63" spans="3:75" ht="16.2" thickBot="1" x14ac:dyDescent="0.35">
      <c r="C63" s="149" t="s">
        <v>737</v>
      </c>
      <c r="D63" s="150">
        <f>E63/E51</f>
        <v>0.27525019040331244</v>
      </c>
      <c r="E63" s="151">
        <f>E21</f>
        <v>5910952.8300000001</v>
      </c>
      <c r="F63" s="152">
        <v>0.3</v>
      </c>
      <c r="G63" s="151">
        <f>E63*F63</f>
        <v>1773285.8489999999</v>
      </c>
      <c r="H63" s="465">
        <v>0.9</v>
      </c>
      <c r="I63" s="151">
        <f>G63*H63</f>
        <v>1595957.2641</v>
      </c>
      <c r="J63" s="465">
        <v>0.05</v>
      </c>
      <c r="K63" s="444">
        <f>I63*J63</f>
        <v>79797.863205000001</v>
      </c>
      <c r="S63" s="88"/>
      <c r="Y63" s="238"/>
      <c r="Z63" s="238"/>
      <c r="AA63" s="238"/>
      <c r="AB63" s="238"/>
      <c r="AC63" s="238"/>
      <c r="AD63" s="238"/>
      <c r="AE63" s="238"/>
      <c r="AF63" s="238"/>
      <c r="AG63" s="238"/>
      <c r="AH63" s="238"/>
      <c r="AI63" s="926"/>
      <c r="AJ63" s="410"/>
      <c r="AK63" s="410"/>
      <c r="AL63" s="927"/>
      <c r="AM63" s="948" t="s">
        <v>1305</v>
      </c>
      <c r="AN63" s="911">
        <f>AN56*AO63</f>
        <v>1309508398.3722227</v>
      </c>
      <c r="AO63" s="912">
        <v>0.04</v>
      </c>
      <c r="AP63" s="410" t="s">
        <v>148</v>
      </c>
      <c r="AQ63" s="126"/>
      <c r="AR63" s="253"/>
    </row>
    <row r="64" spans="3:75" ht="16.2" thickBot="1" x14ac:dyDescent="0.35">
      <c r="C64" s="141"/>
      <c r="D64" s="429"/>
      <c r="E64" s="371"/>
      <c r="F64" s="430"/>
      <c r="G64" s="432" t="s">
        <v>738</v>
      </c>
      <c r="H64" s="142"/>
      <c r="I64" s="449" t="s">
        <v>738</v>
      </c>
      <c r="J64" s="433"/>
      <c r="K64" s="434"/>
      <c r="S64" s="88"/>
      <c r="Y64" s="238"/>
      <c r="AE64" s="252"/>
      <c r="AG64" s="88"/>
      <c r="AI64" s="106"/>
      <c r="AJ64" s="964"/>
      <c r="AK64" s="106"/>
      <c r="AL64" s="929"/>
      <c r="AM64" s="938"/>
      <c r="AN64" s="1004"/>
      <c r="AO64" s="1005"/>
      <c r="AP64" s="1005"/>
      <c r="AQ64" s="903"/>
      <c r="AR64" s="253"/>
    </row>
    <row r="65" spans="3:75" ht="16.2" thickBot="1" x14ac:dyDescent="0.35">
      <c r="C65" s="141"/>
      <c r="D65" s="429"/>
      <c r="E65" s="371"/>
      <c r="F65" s="430">
        <v>0.25</v>
      </c>
      <c r="G65" s="432">
        <f>E63*F65</f>
        <v>1477738.2075</v>
      </c>
      <c r="H65" s="466">
        <v>0.95</v>
      </c>
      <c r="I65" s="432">
        <f>G65*H65</f>
        <v>1403851.297125</v>
      </c>
      <c r="J65" s="466">
        <v>0.05</v>
      </c>
      <c r="K65" s="449">
        <f>I65*J65</f>
        <v>70192.564856249999</v>
      </c>
      <c r="S65" s="88"/>
      <c r="Y65" s="238"/>
      <c r="AE65" s="252"/>
      <c r="AG65" s="88"/>
      <c r="AI65" s="106"/>
      <c r="AJ65" s="964"/>
      <c r="AK65" s="106"/>
      <c r="AL65" s="927"/>
      <c r="AM65" s="939" t="s">
        <v>1299</v>
      </c>
      <c r="AN65" s="1006">
        <f>AN53</f>
        <v>5497558138.8800001</v>
      </c>
      <c r="AO65" s="935">
        <f>AN65/AN56</f>
        <v>0.16792738849827032</v>
      </c>
      <c r="AP65" s="898" t="s">
        <v>1311</v>
      </c>
      <c r="AQ65" s="905"/>
      <c r="AR65" s="253"/>
    </row>
    <row r="66" spans="3:75" ht="16.2" thickBot="1" x14ac:dyDescent="0.35">
      <c r="C66" s="122"/>
      <c r="D66" s="94">
        <f>SUM(D57:D63)</f>
        <v>1</v>
      </c>
      <c r="E66" s="7"/>
      <c r="F66" s="153"/>
      <c r="G66" s="154" t="s">
        <v>293</v>
      </c>
      <c r="H66" s="7"/>
      <c r="I66" s="448" t="s">
        <v>294</v>
      </c>
      <c r="J66" s="122"/>
      <c r="K66" s="8"/>
      <c r="S66" s="88"/>
      <c r="W66" s="77" t="s">
        <v>805</v>
      </c>
      <c r="Y66" s="238"/>
      <c r="AA66" s="576"/>
      <c r="AB66" s="88"/>
      <c r="AD66" s="88"/>
      <c r="AE66" s="252"/>
      <c r="AG66" s="88"/>
      <c r="AH66" s="88"/>
      <c r="AI66" s="106"/>
      <c r="AJ66" s="964"/>
      <c r="AK66" s="106"/>
      <c r="AL66" s="106"/>
      <c r="AM66" s="940" t="s">
        <v>1325</v>
      </c>
      <c r="AN66" s="930">
        <f>AN56*AO66</f>
        <v>163688549.79652783</v>
      </c>
      <c r="AO66" s="931">
        <v>5.0000000000000001E-3</v>
      </c>
      <c r="AP66" s="898" t="s">
        <v>1315</v>
      </c>
      <c r="AQ66" s="905"/>
      <c r="AR66" s="946">
        <v>272</v>
      </c>
      <c r="AS66" s="181" t="s">
        <v>1314</v>
      </c>
    </row>
    <row r="67" spans="3:75" ht="16.2" thickBot="1" x14ac:dyDescent="0.35">
      <c r="C67" s="122"/>
      <c r="D67" s="7"/>
      <c r="E67" s="7"/>
      <c r="F67" s="153">
        <v>0.2</v>
      </c>
      <c r="G67" s="99">
        <f>E63*F67</f>
        <v>1182190.5660000001</v>
      </c>
      <c r="H67" s="467">
        <v>0.9</v>
      </c>
      <c r="I67" s="99">
        <f>G67*H67</f>
        <v>1063971.5094000001</v>
      </c>
      <c r="J67" s="467">
        <v>0.05</v>
      </c>
      <c r="K67" s="443">
        <f>I67*J67</f>
        <v>53198.575470000011</v>
      </c>
      <c r="S67" s="88"/>
      <c r="W67" s="949">
        <v>2024</v>
      </c>
      <c r="Y67" s="76"/>
      <c r="AA67" s="952"/>
      <c r="AB67" s="252"/>
      <c r="AD67" s="252"/>
      <c r="AE67" s="252"/>
      <c r="AG67" s="88"/>
      <c r="AI67" s="106"/>
      <c r="AJ67" s="964"/>
      <c r="AK67" s="106"/>
      <c r="AL67" s="106"/>
      <c r="AM67" s="940" t="s">
        <v>1307</v>
      </c>
      <c r="AN67" s="930">
        <f>AN56*AO67</f>
        <v>982131298.77916706</v>
      </c>
      <c r="AO67" s="931">
        <v>0.03</v>
      </c>
      <c r="AP67" s="898" t="s">
        <v>1323</v>
      </c>
      <c r="AQ67" s="905"/>
      <c r="AR67" s="945">
        <v>100</v>
      </c>
      <c r="AS67" s="938">
        <f>AR66*AR67</f>
        <v>27200</v>
      </c>
      <c r="AT67" s="1" t="s">
        <v>1316</v>
      </c>
    </row>
    <row r="68" spans="3:75" ht="16.2" thickBot="1" x14ac:dyDescent="0.35">
      <c r="C68" s="122"/>
      <c r="D68" s="7"/>
      <c r="E68" s="7"/>
      <c r="F68" s="445"/>
      <c r="G68" s="445" t="s">
        <v>733</v>
      </c>
      <c r="H68" s="7"/>
      <c r="I68" s="452" t="s">
        <v>733</v>
      </c>
      <c r="J68" s="122"/>
      <c r="K68" s="8"/>
      <c r="R68" s="38"/>
      <c r="S68" s="582"/>
      <c r="W68" s="77" t="s">
        <v>672</v>
      </c>
      <c r="Y68" s="238"/>
      <c r="AA68" s="576"/>
      <c r="AB68" s="88"/>
      <c r="AD68" s="88"/>
      <c r="AE68" s="252"/>
      <c r="AG68" s="88"/>
      <c r="AH68" s="88"/>
      <c r="AI68" s="106"/>
      <c r="AJ68" s="964"/>
      <c r="AK68" s="106"/>
      <c r="AL68" s="251"/>
      <c r="AM68" s="940" t="s">
        <v>1308</v>
      </c>
      <c r="AN68" s="930">
        <f>AN56*AO68</f>
        <v>982131298.77916706</v>
      </c>
      <c r="AO68" s="931">
        <v>0.03</v>
      </c>
      <c r="AP68" s="898" t="s">
        <v>1438</v>
      </c>
      <c r="AQ68" s="905"/>
      <c r="AR68" s="600"/>
      <c r="AS68" s="1">
        <v>1000</v>
      </c>
      <c r="AT68" s="1" t="s">
        <v>226</v>
      </c>
    </row>
    <row r="69" spans="3:75" ht="16.2" thickBot="1" x14ac:dyDescent="0.35">
      <c r="C69" s="122"/>
      <c r="D69" s="7"/>
      <c r="E69" s="7"/>
      <c r="F69" s="438">
        <v>0.2</v>
      </c>
      <c r="G69" s="446">
        <f>E63*F69</f>
        <v>1182190.5660000001</v>
      </c>
      <c r="H69" s="447">
        <v>0.25</v>
      </c>
      <c r="I69" s="446">
        <f>G69*H69</f>
        <v>295547.64150000003</v>
      </c>
      <c r="J69" s="447">
        <v>0.05</v>
      </c>
      <c r="K69" s="439">
        <f>I69*J69</f>
        <v>14777.382075000001</v>
      </c>
      <c r="Q69" s="240" t="s">
        <v>952</v>
      </c>
      <c r="S69" s="88"/>
      <c r="W69" s="691">
        <f>AQ47</f>
        <v>6630548568.2489748</v>
      </c>
      <c r="Y69" s="238"/>
      <c r="AA69" s="952"/>
      <c r="AB69" s="88"/>
      <c r="AD69" s="88"/>
      <c r="AE69" s="252"/>
      <c r="AF69" s="88"/>
      <c r="AG69" s="88"/>
      <c r="AH69" s="88"/>
      <c r="AI69" s="88"/>
      <c r="AJ69" s="958"/>
      <c r="AK69" s="88"/>
      <c r="AL69" s="88"/>
      <c r="AM69" s="940" t="s">
        <v>1317</v>
      </c>
      <c r="AN69" s="930">
        <f>AN56*AO69</f>
        <v>982131298.77916706</v>
      </c>
      <c r="AO69" s="931">
        <v>0.03</v>
      </c>
      <c r="AP69" s="898" t="s">
        <v>1356</v>
      </c>
      <c r="AQ69" s="905"/>
      <c r="AR69" s="601"/>
      <c r="AS69" s="1">
        <f>AS67*AS68</f>
        <v>27200000</v>
      </c>
      <c r="AT69" s="1" t="s">
        <v>1320</v>
      </c>
    </row>
    <row r="70" spans="3:75" x14ac:dyDescent="0.3">
      <c r="C70" s="122"/>
      <c r="D70" s="7"/>
      <c r="E70" s="7"/>
      <c r="F70" s="142"/>
      <c r="G70" s="371"/>
      <c r="H70" s="142"/>
      <c r="I70" s="434"/>
      <c r="J70" s="142"/>
      <c r="K70" s="434"/>
      <c r="L70" s="240" t="s">
        <v>1367</v>
      </c>
      <c r="O70" s="240" t="s">
        <v>803</v>
      </c>
      <c r="Q70" s="951">
        <f>O72</f>
        <v>256</v>
      </c>
      <c r="S70" s="248" t="s">
        <v>367</v>
      </c>
      <c r="U70" s="77" t="s">
        <v>1328</v>
      </c>
      <c r="W70" s="77" t="s">
        <v>806</v>
      </c>
      <c r="Y70" s="238"/>
      <c r="AA70" s="88"/>
      <c r="AB70" s="88"/>
      <c r="AD70" s="88"/>
      <c r="AE70" s="252"/>
      <c r="AF70" s="88"/>
      <c r="AG70" s="88"/>
      <c r="AH70" s="88"/>
      <c r="AI70" s="88"/>
      <c r="AJ70" s="958"/>
      <c r="AK70" s="88"/>
      <c r="AL70" s="88"/>
      <c r="AM70" s="940" t="s">
        <v>1318</v>
      </c>
      <c r="AN70" s="930">
        <f>AN56*AO70</f>
        <v>982131298.77916706</v>
      </c>
      <c r="AO70" s="931">
        <v>0.03</v>
      </c>
      <c r="AP70" s="898" t="s">
        <v>1357</v>
      </c>
      <c r="AQ70" s="905"/>
      <c r="AR70" s="600"/>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55">
        <f>AO53</f>
        <v>256</v>
      </c>
      <c r="U71" s="77" t="s">
        <v>804</v>
      </c>
      <c r="V71" s="947"/>
      <c r="W71" s="319">
        <v>0.3</v>
      </c>
      <c r="Y71" s="76" t="s">
        <v>893</v>
      </c>
      <c r="Z71" s="76"/>
      <c r="AA71" s="77" t="s">
        <v>1332</v>
      </c>
      <c r="AB71" s="88"/>
      <c r="AE71" s="958"/>
      <c r="AF71" s="644" t="s">
        <v>986</v>
      </c>
      <c r="AG71" s="958"/>
      <c r="AH71" s="88"/>
      <c r="AI71" s="88"/>
      <c r="AJ71" s="958"/>
      <c r="AK71" s="88"/>
      <c r="AL71" s="88"/>
      <c r="AM71" s="940" t="s">
        <v>1319</v>
      </c>
      <c r="AN71" s="930">
        <f>AN56*AO71</f>
        <v>982131298.77916706</v>
      </c>
      <c r="AO71" s="931">
        <v>0.03</v>
      </c>
      <c r="AP71" s="898" t="s">
        <v>1358</v>
      </c>
      <c r="AQ71" s="905"/>
      <c r="AR71" s="936"/>
    </row>
    <row r="72" spans="3:75" x14ac:dyDescent="0.3">
      <c r="C72" s="158"/>
      <c r="D72" s="10"/>
      <c r="E72" s="10"/>
      <c r="F72" s="10"/>
      <c r="G72" s="159">
        <f>SUM(G53:G71)</f>
        <v>21179288.838500001</v>
      </c>
      <c r="H72" s="160"/>
      <c r="I72" s="172">
        <f>SUM(I53:I71)</f>
        <v>18215828.053124998</v>
      </c>
      <c r="J72" s="158"/>
      <c r="K72" s="481">
        <f>SUM(K53:K71)</f>
        <v>910791.40265625017</v>
      </c>
      <c r="L72" s="482">
        <f>AN34</f>
        <v>6.9549547512334486</v>
      </c>
      <c r="M72" s="480">
        <f>K72*L72</f>
        <v>6334512.9932866646</v>
      </c>
      <c r="N72" s="239"/>
      <c r="O72" s="950">
        <f>AO53</f>
        <v>256</v>
      </c>
      <c r="P72" s="239"/>
      <c r="Q72" s="480">
        <f>M72*O72</f>
        <v>1621635326.2813861</v>
      </c>
      <c r="R72" s="239"/>
      <c r="S72" s="956">
        <f>M72*S71</f>
        <v>1621635326.2813861</v>
      </c>
      <c r="T72" s="239"/>
      <c r="U72" s="910">
        <f>Q72+S72</f>
        <v>3243270652.5627723</v>
      </c>
      <c r="V72" s="949" t="s">
        <v>1330</v>
      </c>
      <c r="W72" s="910">
        <f>W69*W71</f>
        <v>1989164570.4746923</v>
      </c>
      <c r="X72" s="949" t="s">
        <v>1330</v>
      </c>
      <c r="Y72" s="910">
        <f>AN59+AN60+AN61+AN62+AN63</f>
        <v>8184427489.8263931</v>
      </c>
      <c r="Z72" s="949" t="s">
        <v>1331</v>
      </c>
      <c r="AA72" s="910">
        <f>U72+W72+Y72</f>
        <v>13416862712.863857</v>
      </c>
      <c r="AB72" s="238"/>
      <c r="AC72" s="238"/>
      <c r="AD72" s="961"/>
      <c r="AE72" s="644" t="s">
        <v>805</v>
      </c>
      <c r="AF72" s="958"/>
      <c r="AG72" s="644" t="s">
        <v>987</v>
      </c>
      <c r="AH72" s="958"/>
      <c r="AI72" s="181"/>
      <c r="AJ72" s="958"/>
      <c r="AK72" s="88"/>
      <c r="AL72" s="88"/>
      <c r="AM72" s="940" t="s">
        <v>1312</v>
      </c>
      <c r="AN72" s="930">
        <f>AN56*AO72</f>
        <v>982131298.77916706</v>
      </c>
      <c r="AO72" s="931">
        <v>0.03</v>
      </c>
      <c r="AP72" s="898" t="s">
        <v>1359</v>
      </c>
      <c r="AQ72" s="905"/>
      <c r="AR72" s="812"/>
    </row>
    <row r="73" spans="3:75"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I73" s="88"/>
      <c r="AJ73" s="88"/>
      <c r="AK73" s="88"/>
      <c r="AL73" s="88"/>
      <c r="AM73" s="940" t="s">
        <v>1313</v>
      </c>
      <c r="AN73" s="930">
        <f>AN56*AO73</f>
        <v>654754199.18611133</v>
      </c>
      <c r="AO73" s="931">
        <v>0.02</v>
      </c>
      <c r="AP73" s="898" t="s">
        <v>1361</v>
      </c>
      <c r="AQ73" s="905"/>
      <c r="AR73" s="255"/>
    </row>
    <row r="74" spans="3:75"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AI74" s="88"/>
      <c r="AJ74" s="252"/>
      <c r="AK74" s="252"/>
      <c r="AL74" s="252"/>
      <c r="AM74" s="940" t="s">
        <v>1324</v>
      </c>
      <c r="AN74" s="930">
        <f>AN56*AO74</f>
        <v>1636885497.9652786</v>
      </c>
      <c r="AO74" s="931">
        <v>0.05</v>
      </c>
      <c r="AP74" s="898" t="s">
        <v>1439</v>
      </c>
      <c r="AQ74" s="905"/>
      <c r="AR74" s="255"/>
    </row>
    <row r="75" spans="3:75"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106" si="30">AD74+1</f>
        <v>2017</v>
      </c>
      <c r="AE75" s="691">
        <f t="shared" ref="AE75:AE106" si="31">AE74+AG74</f>
        <v>5578050000</v>
      </c>
      <c r="AF75" s="963">
        <f t="shared" si="28"/>
        <v>2.5000000000000001E-2</v>
      </c>
      <c r="AG75" s="691">
        <f t="shared" si="29"/>
        <v>139451250</v>
      </c>
      <c r="AI75" s="88"/>
      <c r="AJ75" s="252"/>
      <c r="AK75" s="88"/>
      <c r="AL75" s="88"/>
      <c r="AM75" s="940" t="s">
        <v>1306</v>
      </c>
      <c r="AN75" s="930">
        <f>AN56*AO75</f>
        <v>654754199.18611133</v>
      </c>
      <c r="AO75" s="931">
        <v>0.02</v>
      </c>
      <c r="AP75" s="899" t="s">
        <v>1360</v>
      </c>
      <c r="AQ75" s="932"/>
      <c r="AR75" s="255"/>
    </row>
    <row r="76" spans="3:75" x14ac:dyDescent="0.3">
      <c r="R76" s="88"/>
      <c r="S76" s="252"/>
      <c r="T76" s="88"/>
      <c r="U76" s="88"/>
      <c r="V76" s="88"/>
      <c r="W76" s="88"/>
      <c r="X76" s="88"/>
      <c r="Y76" s="88"/>
      <c r="Z76" s="361" t="s">
        <v>1347</v>
      </c>
      <c r="AA76" s="736">
        <f>AA72</f>
        <v>13416862712.863857</v>
      </c>
      <c r="AB76" s="88"/>
      <c r="AD76" s="960">
        <f t="shared" si="30"/>
        <v>2018</v>
      </c>
      <c r="AE76" s="691">
        <f t="shared" si="31"/>
        <v>5717501250</v>
      </c>
      <c r="AF76" s="963">
        <f t="shared" si="28"/>
        <v>2.5000000000000001E-2</v>
      </c>
      <c r="AG76" s="691">
        <f t="shared" si="29"/>
        <v>142937531.25</v>
      </c>
      <c r="AI76" s="88"/>
      <c r="AJ76" s="252"/>
      <c r="AK76" s="88"/>
      <c r="AL76" s="88"/>
      <c r="AM76" s="941" t="s">
        <v>1309</v>
      </c>
      <c r="AN76" s="930">
        <f>AN56*AO76</f>
        <v>654754199.18611133</v>
      </c>
      <c r="AO76" s="931">
        <v>0.02</v>
      </c>
      <c r="AP76" s="899" t="s">
        <v>1440</v>
      </c>
      <c r="AQ76" s="932"/>
      <c r="AR76" s="255"/>
    </row>
    <row r="77" spans="3:75"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I77" s="88"/>
      <c r="AJ77" s="88"/>
      <c r="AK77" s="88"/>
      <c r="AL77" s="88"/>
      <c r="AM77" s="940" t="s">
        <v>1310</v>
      </c>
      <c r="AN77" s="904">
        <f>AN56*AO77</f>
        <v>1636885497.9652786</v>
      </c>
      <c r="AO77" s="1065">
        <v>0.05</v>
      </c>
      <c r="AP77" s="898" t="s">
        <v>1362</v>
      </c>
      <c r="AQ77" s="905"/>
      <c r="AR77" s="255"/>
    </row>
    <row r="78" spans="3:75" x14ac:dyDescent="0.3">
      <c r="R78" s="88"/>
      <c r="S78" s="252"/>
      <c r="T78" s="88"/>
      <c r="U78" s="88"/>
      <c r="V78" s="88"/>
      <c r="W78" s="88"/>
      <c r="X78" s="88"/>
      <c r="Y78" s="88"/>
      <c r="Z78" s="555" t="s">
        <v>1333</v>
      </c>
      <c r="AA78" s="957">
        <f>AA72/W72</f>
        <v>6.7449737000202399</v>
      </c>
      <c r="AB78" s="252"/>
      <c r="AD78" s="960">
        <f t="shared" si="30"/>
        <v>2020</v>
      </c>
      <c r="AE78" s="691">
        <f t="shared" si="31"/>
        <v>6006949750.78125</v>
      </c>
      <c r="AF78" s="963">
        <f t="shared" si="28"/>
        <v>2.5000000000000001E-2</v>
      </c>
      <c r="AG78" s="691">
        <f t="shared" si="29"/>
        <v>150173743.76953125</v>
      </c>
      <c r="AI78" s="88"/>
      <c r="AJ78" s="88"/>
      <c r="AK78" s="88"/>
      <c r="AL78" s="88"/>
      <c r="AM78" s="940" t="s">
        <v>1452</v>
      </c>
      <c r="AN78" s="904">
        <f>AN56*AO78</f>
        <v>982131298.77916706</v>
      </c>
      <c r="AO78" s="1065">
        <v>0.03</v>
      </c>
      <c r="AP78" s="898" t="s">
        <v>1450</v>
      </c>
      <c r="AQ78" s="905"/>
      <c r="AR78" s="255"/>
    </row>
    <row r="79" spans="3:75" x14ac:dyDescent="0.3">
      <c r="R79" s="88"/>
      <c r="S79" s="252"/>
      <c r="T79" s="88"/>
      <c r="U79" s="88"/>
      <c r="V79" s="88"/>
      <c r="W79" s="88"/>
      <c r="X79" s="88"/>
      <c r="AB79" s="252"/>
      <c r="AD79" s="960">
        <f t="shared" si="30"/>
        <v>2021</v>
      </c>
      <c r="AE79" s="691">
        <f t="shared" si="31"/>
        <v>6157123494.5507813</v>
      </c>
      <c r="AF79" s="963">
        <f t="shared" si="28"/>
        <v>2.5000000000000001E-2</v>
      </c>
      <c r="AG79" s="691">
        <f t="shared" si="29"/>
        <v>153928087.36376953</v>
      </c>
      <c r="AI79" s="88"/>
      <c r="AJ79" s="88"/>
      <c r="AK79" s="88"/>
      <c r="AL79" s="88"/>
      <c r="AM79" s="940" t="s">
        <v>1453</v>
      </c>
      <c r="AN79" s="904">
        <f>AN56*AO79</f>
        <v>0</v>
      </c>
      <c r="AO79" s="1065">
        <v>0</v>
      </c>
      <c r="AP79" s="898" t="s">
        <v>1451</v>
      </c>
      <c r="AQ79" s="905"/>
      <c r="AR79" s="255"/>
    </row>
    <row r="80" spans="3:75" x14ac:dyDescent="0.3">
      <c r="R80" s="88"/>
      <c r="S80" s="252"/>
      <c r="T80" s="88"/>
      <c r="U80" s="88"/>
      <c r="V80" s="88"/>
      <c r="W80" s="88"/>
      <c r="X80" s="88"/>
      <c r="AB80" s="88"/>
      <c r="AD80" s="960">
        <f t="shared" si="30"/>
        <v>2022</v>
      </c>
      <c r="AE80" s="691">
        <f t="shared" si="31"/>
        <v>6311051581.9145508</v>
      </c>
      <c r="AF80" s="963">
        <f t="shared" si="28"/>
        <v>2.5000000000000001E-2</v>
      </c>
      <c r="AG80" s="691">
        <f t="shared" si="29"/>
        <v>157776289.54786378</v>
      </c>
      <c r="AI80" s="88"/>
      <c r="AJ80" s="88"/>
      <c r="AK80" s="88"/>
      <c r="AL80" s="88"/>
      <c r="AM80" s="940" t="s">
        <v>1326</v>
      </c>
      <c r="AN80" s="904">
        <f>AN56*AO80</f>
        <v>982131298.77916706</v>
      </c>
      <c r="AO80" s="1065">
        <v>0.03</v>
      </c>
      <c r="AP80" s="898" t="s">
        <v>1348</v>
      </c>
      <c r="AQ80" s="905"/>
      <c r="AR80" s="251"/>
    </row>
    <row r="81" spans="18:45" x14ac:dyDescent="0.3">
      <c r="R81" s="88"/>
      <c r="S81" s="252"/>
      <c r="T81" s="88"/>
      <c r="U81" s="88"/>
      <c r="V81" s="88"/>
      <c r="W81" s="88"/>
      <c r="AB81" s="88"/>
      <c r="AD81" s="960">
        <f t="shared" si="30"/>
        <v>2023</v>
      </c>
      <c r="AE81" s="691">
        <f t="shared" si="31"/>
        <v>6468827871.4624147</v>
      </c>
      <c r="AF81" s="963">
        <f t="shared" si="28"/>
        <v>2.5000000000000001E-2</v>
      </c>
      <c r="AG81" s="691">
        <f t="shared" si="29"/>
        <v>161720696.78656039</v>
      </c>
      <c r="AI81" s="88"/>
      <c r="AJ81" s="88"/>
      <c r="AK81" s="88"/>
      <c r="AL81" s="88"/>
      <c r="AM81" s="940" t="s">
        <v>1298</v>
      </c>
      <c r="AN81" s="930">
        <f>AN56*AO81</f>
        <v>982131298.77916706</v>
      </c>
      <c r="AO81" s="931">
        <v>0.03</v>
      </c>
      <c r="AP81" s="898" t="s">
        <v>1363</v>
      </c>
      <c r="AQ81" s="905"/>
      <c r="AR81" s="251"/>
    </row>
    <row r="82" spans="18:45" x14ac:dyDescent="0.3">
      <c r="R82" s="88"/>
      <c r="S82" s="252"/>
      <c r="T82" s="88"/>
      <c r="U82" s="88"/>
      <c r="V82" s="88"/>
      <c r="W82" s="88"/>
      <c r="X82" s="88"/>
      <c r="Y82" s="88"/>
      <c r="Z82" s="88"/>
      <c r="AA82" s="88"/>
      <c r="AB82" s="88"/>
      <c r="AD82" s="965">
        <f t="shared" si="30"/>
        <v>2024</v>
      </c>
      <c r="AE82" s="182">
        <f t="shared" si="31"/>
        <v>6630548568.2489748</v>
      </c>
      <c r="AF82" s="966">
        <f t="shared" si="28"/>
        <v>2.5000000000000001E-2</v>
      </c>
      <c r="AG82" s="967">
        <f t="shared" si="29"/>
        <v>165763714.20622438</v>
      </c>
      <c r="AI82" s="88"/>
      <c r="AJ82" s="88"/>
      <c r="AK82" s="88"/>
      <c r="AL82" s="88"/>
      <c r="AM82" s="942"/>
      <c r="AN82" s="1067"/>
      <c r="AO82" s="1068">
        <f>SUM(AO58:AO81)</f>
        <v>0.91292738849827071</v>
      </c>
      <c r="AP82" s="1069"/>
      <c r="AQ82" s="1070"/>
      <c r="AR82" s="251"/>
    </row>
    <row r="83" spans="18:45" x14ac:dyDescent="0.3">
      <c r="R83" s="88"/>
      <c r="S83" s="252"/>
      <c r="T83" s="88"/>
      <c r="U83" s="88"/>
      <c r="V83" s="88"/>
      <c r="W83" s="88"/>
      <c r="X83" s="88"/>
      <c r="Y83" s="88"/>
      <c r="Z83" s="88"/>
      <c r="AA83" s="88"/>
      <c r="AB83" s="88"/>
      <c r="AD83" s="960">
        <f t="shared" si="30"/>
        <v>2025</v>
      </c>
      <c r="AE83" s="691">
        <f t="shared" si="31"/>
        <v>6796312282.4551992</v>
      </c>
      <c r="AF83" s="963">
        <f t="shared" si="28"/>
        <v>2.5000000000000001E-2</v>
      </c>
      <c r="AG83" s="691">
        <f t="shared" si="29"/>
        <v>169907807.06138</v>
      </c>
      <c r="AI83" s="88"/>
      <c r="AJ83" s="88"/>
      <c r="AK83" s="88"/>
      <c r="AL83" s="88"/>
      <c r="AM83" s="941" t="s">
        <v>1321</v>
      </c>
      <c r="AN83" s="904">
        <f>AN56*AO83</f>
        <v>2850557900.7429075</v>
      </c>
      <c r="AO83" s="1065">
        <f>100%-AO82</f>
        <v>8.7072611501729291E-2</v>
      </c>
      <c r="AP83" s="898" t="s">
        <v>148</v>
      </c>
      <c r="AQ83" s="905"/>
      <c r="AR83" s="251"/>
    </row>
    <row r="84" spans="18:45" x14ac:dyDescent="0.3">
      <c r="R84" s="88"/>
      <c r="S84" s="88"/>
      <c r="T84" s="88"/>
      <c r="U84" s="88"/>
      <c r="V84" s="88"/>
      <c r="W84" s="88"/>
      <c r="X84" s="88"/>
      <c r="Y84" s="88"/>
      <c r="Z84" s="88"/>
      <c r="AA84" s="88"/>
      <c r="AB84" s="88"/>
      <c r="AD84" s="960">
        <f t="shared" si="30"/>
        <v>2026</v>
      </c>
      <c r="AE84" s="691">
        <f t="shared" si="31"/>
        <v>6966220089.5165796</v>
      </c>
      <c r="AF84" s="963">
        <f t="shared" si="28"/>
        <v>2.5000000000000001E-2</v>
      </c>
      <c r="AG84" s="691">
        <f t="shared" si="29"/>
        <v>174155502.2379145</v>
      </c>
      <c r="AI84" s="88"/>
      <c r="AJ84" s="88"/>
      <c r="AK84" s="88"/>
      <c r="AL84" s="88"/>
      <c r="AM84" s="943" t="s">
        <v>1322</v>
      </c>
      <c r="AN84" s="1071">
        <f>SUM(AN58:AN83)</f>
        <v>32737709959.305561</v>
      </c>
      <c r="AO84" s="1072">
        <f>AO82+AO83</f>
        <v>1</v>
      </c>
      <c r="AP84" s="1073" t="s">
        <v>59</v>
      </c>
      <c r="AQ84" s="1074"/>
      <c r="AR84" s="251"/>
    </row>
    <row r="85" spans="18:45" x14ac:dyDescent="0.3">
      <c r="R85" s="88"/>
      <c r="S85" s="88"/>
      <c r="T85" s="88"/>
      <c r="U85" s="88"/>
      <c r="V85" s="88"/>
      <c r="AD85" s="960">
        <f t="shared" si="30"/>
        <v>2027</v>
      </c>
      <c r="AE85" s="691">
        <f t="shared" si="31"/>
        <v>7140375591.7544937</v>
      </c>
      <c r="AF85" s="963">
        <f t="shared" si="28"/>
        <v>2.5000000000000001E-2</v>
      </c>
      <c r="AG85" s="691">
        <f t="shared" si="29"/>
        <v>178509389.79386234</v>
      </c>
      <c r="AI85" s="88"/>
      <c r="AJ85" s="88"/>
      <c r="AK85" s="88"/>
      <c r="AL85" s="88"/>
      <c r="AM85" s="943" t="s">
        <v>1329</v>
      </c>
      <c r="AN85" s="179">
        <f>AN59+AN60+AN61+AN62+AN63</f>
        <v>8184427489.8263931</v>
      </c>
      <c r="AO85" s="160"/>
      <c r="AP85" s="160" t="s">
        <v>1364</v>
      </c>
      <c r="AQ85" s="303"/>
      <c r="AR85" s="251"/>
    </row>
    <row r="86" spans="18:45" x14ac:dyDescent="0.3">
      <c r="AD86" s="960">
        <f t="shared" si="30"/>
        <v>2028</v>
      </c>
      <c r="AE86" s="691">
        <f t="shared" si="31"/>
        <v>7318884981.5483561</v>
      </c>
      <c r="AF86" s="963">
        <f t="shared" si="28"/>
        <v>2.5000000000000001E-2</v>
      </c>
      <c r="AG86" s="691">
        <f t="shared" si="29"/>
        <v>182972124.53870893</v>
      </c>
      <c r="AI86" s="88"/>
      <c r="AJ86" s="88"/>
      <c r="AK86" s="88"/>
      <c r="AL86" s="88"/>
      <c r="AM86" s="364"/>
      <c r="AN86" s="1075"/>
      <c r="AO86" s="1076"/>
      <c r="AP86" s="1076"/>
      <c r="AQ86" s="1077"/>
      <c r="AR86" s="251"/>
    </row>
    <row r="87" spans="18:45" x14ac:dyDescent="0.3">
      <c r="AD87" s="960">
        <f t="shared" si="30"/>
        <v>2029</v>
      </c>
      <c r="AE87" s="691">
        <f t="shared" si="31"/>
        <v>7501857106.0870647</v>
      </c>
      <c r="AF87" s="963">
        <f t="shared" si="28"/>
        <v>2.5000000000000001E-2</v>
      </c>
      <c r="AG87" s="691">
        <f t="shared" si="29"/>
        <v>187546427.65217662</v>
      </c>
      <c r="AI87" s="88"/>
      <c r="AJ87" s="88"/>
      <c r="AK87" s="88"/>
      <c r="AL87" s="88"/>
      <c r="AM87" s="1007" t="s">
        <v>1336</v>
      </c>
      <c r="AN87" s="1066">
        <f>AA72</f>
        <v>13416862712.863857</v>
      </c>
      <c r="AO87" s="251" t="s">
        <v>1335</v>
      </c>
      <c r="AP87" s="251"/>
      <c r="AQ87" s="251"/>
      <c r="AR87" s="251"/>
    </row>
    <row r="88" spans="18:45" x14ac:dyDescent="0.3">
      <c r="AD88" s="960">
        <f t="shared" si="30"/>
        <v>2030</v>
      </c>
      <c r="AE88" s="691">
        <f t="shared" si="31"/>
        <v>7689403533.7392416</v>
      </c>
      <c r="AF88" s="963">
        <f t="shared" si="28"/>
        <v>2.5000000000000001E-2</v>
      </c>
      <c r="AG88" s="691">
        <f t="shared" si="29"/>
        <v>192235088.34348106</v>
      </c>
      <c r="AI88" s="88"/>
      <c r="AJ88" s="88"/>
      <c r="AK88" s="88"/>
      <c r="AL88" s="88"/>
      <c r="AM88" s="1008" t="s">
        <v>1337</v>
      </c>
      <c r="AN88" s="1009">
        <f>W72</f>
        <v>1989164570.4746923</v>
      </c>
      <c r="AO88" s="898" t="s">
        <v>1338</v>
      </c>
      <c r="AP88" s="898"/>
      <c r="AQ88" s="251"/>
      <c r="AR88" s="251"/>
    </row>
    <row r="89" spans="18:45" x14ac:dyDescent="0.3">
      <c r="AD89" s="960">
        <f t="shared" si="30"/>
        <v>2031</v>
      </c>
      <c r="AE89" s="691">
        <f t="shared" si="31"/>
        <v>7881638622.0827227</v>
      </c>
      <c r="AF89" s="963">
        <f t="shared" si="28"/>
        <v>2.5000000000000001E-2</v>
      </c>
      <c r="AG89" s="691">
        <f t="shared" si="29"/>
        <v>197040965.55206808</v>
      </c>
      <c r="AI89" s="88"/>
      <c r="AJ89" s="88"/>
      <c r="AK89" s="88"/>
      <c r="AL89" s="88"/>
      <c r="AM89" s="106"/>
      <c r="AN89" s="745"/>
      <c r="AO89" s="251"/>
      <c r="AP89" s="251"/>
      <c r="AQ89" s="251"/>
      <c r="AR89" s="251"/>
      <c r="AS89" s="252"/>
    </row>
    <row r="90" spans="18:45" x14ac:dyDescent="0.3">
      <c r="AD90" s="960">
        <f t="shared" si="30"/>
        <v>2032</v>
      </c>
      <c r="AE90" s="691">
        <f t="shared" si="31"/>
        <v>8078679587.6347904</v>
      </c>
      <c r="AF90" s="963">
        <f t="shared" si="28"/>
        <v>2.5000000000000001E-2</v>
      </c>
      <c r="AG90" s="691">
        <f t="shared" si="29"/>
        <v>201966989.69086978</v>
      </c>
      <c r="AI90" s="88"/>
      <c r="AJ90" s="88"/>
      <c r="AK90" s="88"/>
      <c r="AL90" s="88"/>
      <c r="AN90" s="999" t="s">
        <v>1355</v>
      </c>
      <c r="AO90" s="252"/>
      <c r="AP90" s="252"/>
      <c r="AQ90" s="252"/>
      <c r="AR90" s="252"/>
      <c r="AS90" s="252"/>
    </row>
    <row r="91" spans="18:45" x14ac:dyDescent="0.3">
      <c r="AD91" s="960">
        <f t="shared" si="30"/>
        <v>2033</v>
      </c>
      <c r="AE91" s="691">
        <f t="shared" si="31"/>
        <v>8280646577.3256598</v>
      </c>
      <c r="AF91" s="963">
        <f t="shared" si="28"/>
        <v>2.5000000000000001E-2</v>
      </c>
      <c r="AG91" s="691">
        <f t="shared" si="29"/>
        <v>207016164.4331415</v>
      </c>
      <c r="AI91" s="88"/>
      <c r="AJ91" s="88"/>
      <c r="AK91" s="88"/>
      <c r="AL91" s="88"/>
      <c r="AO91" s="252"/>
      <c r="AP91" s="252"/>
      <c r="AQ91" s="252"/>
      <c r="AR91" s="252"/>
      <c r="AS91" s="252"/>
    </row>
    <row r="92" spans="18:45" x14ac:dyDescent="0.3">
      <c r="AD92" s="960">
        <f t="shared" si="30"/>
        <v>2034</v>
      </c>
      <c r="AE92" s="691">
        <f t="shared" si="31"/>
        <v>8487662741.7588015</v>
      </c>
      <c r="AF92" s="963">
        <f t="shared" si="28"/>
        <v>2.5000000000000001E-2</v>
      </c>
      <c r="AG92" s="691">
        <f t="shared" si="29"/>
        <v>212191568.54397005</v>
      </c>
      <c r="AI92" s="88"/>
      <c r="AJ92" s="88"/>
      <c r="AK92" s="88"/>
      <c r="AL92" s="252"/>
      <c r="AO92" s="252"/>
      <c r="AP92" s="252"/>
      <c r="AQ92" s="252"/>
      <c r="AR92" s="252"/>
      <c r="AS92" s="252"/>
    </row>
    <row r="93" spans="18:45" x14ac:dyDescent="0.3">
      <c r="AD93" s="960">
        <f t="shared" si="30"/>
        <v>2035</v>
      </c>
      <c r="AE93" s="691">
        <f t="shared" si="31"/>
        <v>8699854310.3027706</v>
      </c>
      <c r="AF93" s="963">
        <f t="shared" si="28"/>
        <v>2.5000000000000001E-2</v>
      </c>
      <c r="AG93" s="691">
        <f t="shared" si="29"/>
        <v>217496357.75756928</v>
      </c>
      <c r="AO93" s="252"/>
      <c r="AP93" s="252"/>
      <c r="AQ93" s="252"/>
      <c r="AR93" s="252"/>
      <c r="AS93" s="252"/>
    </row>
    <row r="94" spans="18:45" x14ac:dyDescent="0.3">
      <c r="AD94" s="960">
        <f t="shared" si="30"/>
        <v>2036</v>
      </c>
      <c r="AE94" s="691">
        <f t="shared" si="31"/>
        <v>8917350668.060339</v>
      </c>
      <c r="AF94" s="963">
        <f t="shared" si="28"/>
        <v>2.5000000000000001E-2</v>
      </c>
      <c r="AG94" s="691">
        <f t="shared" si="29"/>
        <v>222933766.70150849</v>
      </c>
      <c r="AO94" s="252"/>
      <c r="AP94" s="252"/>
      <c r="AQ94" s="252"/>
      <c r="AR94" s="252"/>
      <c r="AS94" s="252"/>
    </row>
    <row r="95" spans="18:45" x14ac:dyDescent="0.3">
      <c r="AD95" s="960">
        <f t="shared" si="30"/>
        <v>2037</v>
      </c>
      <c r="AE95" s="691">
        <f t="shared" si="31"/>
        <v>9140284434.7618465</v>
      </c>
      <c r="AF95" s="963">
        <f t="shared" si="28"/>
        <v>2.5000000000000001E-2</v>
      </c>
      <c r="AG95" s="691">
        <f t="shared" si="29"/>
        <v>228507110.86904618</v>
      </c>
      <c r="AO95" s="252"/>
      <c r="AP95" s="252"/>
      <c r="AQ95" s="252"/>
      <c r="AR95" s="252"/>
      <c r="AS95" s="252"/>
    </row>
    <row r="96" spans="18:45" x14ac:dyDescent="0.3">
      <c r="AD96" s="960">
        <f t="shared" si="30"/>
        <v>2038</v>
      </c>
      <c r="AE96" s="691">
        <f t="shared" si="31"/>
        <v>9368791545.6308918</v>
      </c>
      <c r="AF96" s="963">
        <f t="shared" si="28"/>
        <v>2.5000000000000001E-2</v>
      </c>
      <c r="AG96" s="691">
        <f t="shared" si="29"/>
        <v>234219788.64077231</v>
      </c>
      <c r="AO96" s="252"/>
      <c r="AP96" s="252"/>
      <c r="AQ96" s="252"/>
      <c r="AR96" s="252"/>
      <c r="AS96" s="252"/>
    </row>
    <row r="97" spans="30:45" x14ac:dyDescent="0.3">
      <c r="AD97" s="960">
        <f t="shared" si="30"/>
        <v>2039</v>
      </c>
      <c r="AE97" s="691">
        <f t="shared" si="31"/>
        <v>9603011334.2716637</v>
      </c>
      <c r="AF97" s="963">
        <f t="shared" si="28"/>
        <v>2.5000000000000001E-2</v>
      </c>
      <c r="AG97" s="691">
        <f t="shared" si="29"/>
        <v>240075283.35679162</v>
      </c>
      <c r="AO97" s="252"/>
      <c r="AP97" s="252"/>
      <c r="AQ97" s="252"/>
      <c r="AR97" s="252"/>
      <c r="AS97" s="252"/>
    </row>
    <row r="98" spans="30:45" x14ac:dyDescent="0.3">
      <c r="AD98" s="960">
        <f t="shared" si="30"/>
        <v>2040</v>
      </c>
      <c r="AE98" s="691">
        <f t="shared" si="31"/>
        <v>9843086617.6284561</v>
      </c>
      <c r="AF98" s="963">
        <f t="shared" si="28"/>
        <v>2.5000000000000001E-2</v>
      </c>
      <c r="AG98" s="691">
        <f t="shared" si="29"/>
        <v>246077165.44071141</v>
      </c>
    </row>
    <row r="99" spans="30:45" x14ac:dyDescent="0.3">
      <c r="AD99" s="960">
        <f t="shared" si="30"/>
        <v>2041</v>
      </c>
      <c r="AE99" s="691">
        <f t="shared" si="31"/>
        <v>10089163783.069168</v>
      </c>
      <c r="AF99" s="963">
        <f t="shared" si="28"/>
        <v>2.5000000000000001E-2</v>
      </c>
      <c r="AG99" s="691">
        <f t="shared" si="29"/>
        <v>252229094.57672921</v>
      </c>
    </row>
    <row r="100" spans="30:45" x14ac:dyDescent="0.3">
      <c r="AD100" s="960">
        <f t="shared" si="30"/>
        <v>2042</v>
      </c>
      <c r="AE100" s="691">
        <f t="shared" si="31"/>
        <v>10341392877.645897</v>
      </c>
      <c r="AF100" s="963">
        <f t="shared" si="28"/>
        <v>2.5000000000000001E-2</v>
      </c>
      <c r="AG100" s="691">
        <f t="shared" si="29"/>
        <v>258534821.94114745</v>
      </c>
    </row>
    <row r="101" spans="30:45" x14ac:dyDescent="0.3">
      <c r="AD101" s="960">
        <f t="shared" si="30"/>
        <v>2043</v>
      </c>
      <c r="AE101" s="691">
        <f t="shared" si="31"/>
        <v>10599927699.587044</v>
      </c>
      <c r="AF101" s="963">
        <f t="shared" si="28"/>
        <v>2.5000000000000001E-2</v>
      </c>
      <c r="AG101" s="691">
        <f t="shared" si="29"/>
        <v>264998192.48967612</v>
      </c>
    </row>
    <row r="102" spans="30:45" x14ac:dyDescent="0.3">
      <c r="AD102" s="960">
        <f t="shared" si="30"/>
        <v>2044</v>
      </c>
      <c r="AE102" s="691">
        <f t="shared" si="31"/>
        <v>10864925892.076719</v>
      </c>
      <c r="AF102" s="963">
        <f t="shared" si="28"/>
        <v>2.5000000000000001E-2</v>
      </c>
      <c r="AG102" s="691">
        <f t="shared" si="29"/>
        <v>271623147.30191797</v>
      </c>
    </row>
    <row r="103" spans="30:45" x14ac:dyDescent="0.3">
      <c r="AD103" s="960">
        <f t="shared" si="30"/>
        <v>2045</v>
      </c>
      <c r="AE103" s="691">
        <f t="shared" si="31"/>
        <v>11136549039.378637</v>
      </c>
      <c r="AF103" s="963">
        <f t="shared" si="28"/>
        <v>2.5000000000000001E-2</v>
      </c>
      <c r="AG103" s="691">
        <f t="shared" si="29"/>
        <v>278413725.98446596</v>
      </c>
    </row>
    <row r="104" spans="30:45" x14ac:dyDescent="0.3">
      <c r="AD104" s="960">
        <f t="shared" si="30"/>
        <v>2046</v>
      </c>
      <c r="AE104" s="691">
        <f t="shared" si="31"/>
        <v>11414962765.363104</v>
      </c>
      <c r="AF104" s="963">
        <f t="shared" si="28"/>
        <v>2.5000000000000001E-2</v>
      </c>
      <c r="AG104" s="691">
        <f t="shared" si="29"/>
        <v>285374069.13407761</v>
      </c>
    </row>
    <row r="105" spans="30:45" x14ac:dyDescent="0.3">
      <c r="AD105" s="960">
        <f t="shared" si="30"/>
        <v>2047</v>
      </c>
      <c r="AE105" s="691">
        <f t="shared" si="31"/>
        <v>11700336834.497181</v>
      </c>
      <c r="AF105" s="963">
        <f t="shared" si="28"/>
        <v>2.5000000000000001E-2</v>
      </c>
      <c r="AG105" s="691">
        <f t="shared" si="29"/>
        <v>292508420.86242956</v>
      </c>
    </row>
    <row r="106" spans="30:45" x14ac:dyDescent="0.3">
      <c r="AD106" s="960">
        <f t="shared" si="30"/>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5D7AA-7CA5-416F-8CEF-C870164F1631}">
  <dimension ref="A1"/>
  <sheetViews>
    <sheetView workbookViewId="0">
      <selection activeCell="K17" sqref="K17"/>
    </sheetView>
  </sheetViews>
  <sheetFormatPr defaultRowHeight="14.4"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4A2BC-27A8-4B71-89FF-712729668B53}">
  <dimension ref="B2:BS64"/>
  <sheetViews>
    <sheetView topLeftCell="B1" workbookViewId="0">
      <selection activeCell="H27" sqref="C16:H27"/>
    </sheetView>
  </sheetViews>
  <sheetFormatPr defaultColWidth="9.109375" defaultRowHeight="13.8" x14ac:dyDescent="0.3"/>
  <cols>
    <col min="1" max="1" width="9.109375" style="1269"/>
    <col min="2" max="2" width="9.109375" style="1478"/>
    <col min="3" max="3" width="13.44140625" style="1478" bestFit="1" customWidth="1"/>
    <col min="4" max="8" width="13.44140625" style="1478" customWidth="1"/>
    <col min="9" max="10" width="9.109375" style="1478"/>
    <col min="11" max="11" width="3.5546875" style="1269" customWidth="1"/>
    <col min="12" max="12" width="3.44140625" style="1269" customWidth="1"/>
    <col min="13" max="13" width="15.44140625" style="1269" customWidth="1"/>
    <col min="14" max="14" width="5" style="1269" hidden="1" customWidth="1"/>
    <col min="15" max="15" width="11.33203125" style="1269" customWidth="1"/>
    <col min="16" max="16" width="9.5546875" style="1269" customWidth="1"/>
    <col min="17" max="19" width="9.6640625" style="1269" customWidth="1"/>
    <col min="20" max="20" width="10" style="1269" customWidth="1"/>
    <col min="21" max="21" width="9.6640625" style="1269" customWidth="1"/>
    <col min="22" max="24" width="9.5546875" style="1269" customWidth="1"/>
    <col min="25" max="25" width="9.6640625" style="1269" customWidth="1"/>
    <col min="26" max="27" width="9.44140625" style="1269" customWidth="1"/>
    <col min="28" max="33" width="10" style="1269" customWidth="1"/>
    <col min="34" max="34" width="3.109375" style="1269" customWidth="1"/>
    <col min="35" max="35" width="9.109375" style="1269"/>
    <col min="36" max="36" width="10" style="1269" customWidth="1"/>
    <col min="37" max="37" width="31" style="1269" customWidth="1"/>
    <col min="38" max="40" width="18.109375" style="1269" customWidth="1"/>
    <col min="41" max="41" width="10.33203125" style="1269" customWidth="1"/>
    <col min="42" max="42" width="17.5546875" style="1269" customWidth="1"/>
    <col min="43" max="43" width="9.109375" style="1269"/>
    <col min="44" max="44" width="3.44140625" style="1273" customWidth="1"/>
    <col min="45" max="45" width="21.44140625" style="1269" customWidth="1"/>
    <col min="46" max="46" width="10.33203125" style="1269" customWidth="1"/>
    <col min="47" max="47" width="3.44140625" style="1269" customWidth="1"/>
    <col min="48" max="48" width="19.33203125" style="1269" customWidth="1"/>
    <col min="49" max="49" width="9.88671875" style="1269" customWidth="1"/>
    <col min="50" max="50" width="3.44140625" style="1273" customWidth="1"/>
    <col min="51" max="51" width="23.44140625" style="1273" customWidth="1"/>
    <col min="52" max="52" width="10" style="1269" customWidth="1"/>
    <col min="53" max="53" width="12.5546875" style="1269" customWidth="1"/>
    <col min="54" max="54" width="10.6640625" style="1269" customWidth="1"/>
    <col min="55" max="61" width="8.88671875" style="1269" customWidth="1"/>
    <col min="62" max="64" width="11.109375" style="1269" customWidth="1"/>
    <col min="65" max="65" width="8.88671875" style="1269" customWidth="1"/>
    <col min="66" max="66" width="11.44140625" style="1269" customWidth="1"/>
    <col min="67" max="67" width="9.109375" style="1269"/>
    <col min="68" max="68" width="20.109375" style="1269" customWidth="1"/>
    <col min="69" max="70" width="23.88671875" style="1269" customWidth="1"/>
    <col min="71" max="71" width="23.33203125" style="1269" customWidth="1"/>
    <col min="72" max="16384" width="9.109375" style="1269"/>
  </cols>
  <sheetData>
    <row r="2" spans="3:71" ht="14.4" thickBot="1" x14ac:dyDescent="0.35">
      <c r="AJ2" s="1270"/>
      <c r="AK2" s="1271"/>
      <c r="AL2" s="1271"/>
      <c r="AM2" s="1271"/>
      <c r="AN2" s="1271"/>
      <c r="AO2" s="1272"/>
      <c r="AZ2" s="1274"/>
      <c r="BF2" s="1275">
        <f>BB5+BC5+BD5+BE5+BF5</f>
        <v>5035719.84765625</v>
      </c>
    </row>
    <row r="3" spans="3:71" x14ac:dyDescent="0.3">
      <c r="C3" s="1482">
        <v>1</v>
      </c>
      <c r="D3" s="1482">
        <v>2</v>
      </c>
      <c r="E3" s="1482">
        <v>3</v>
      </c>
      <c r="F3" s="1482">
        <v>4</v>
      </c>
      <c r="G3" s="1482">
        <v>5</v>
      </c>
      <c r="H3" s="1481"/>
      <c r="K3" s="1276"/>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8"/>
      <c r="AJ3" s="1279"/>
      <c r="AK3" s="1280" t="s">
        <v>1500</v>
      </c>
      <c r="AL3" s="1281"/>
      <c r="AM3" s="1281"/>
      <c r="AN3" s="1281"/>
      <c r="AO3" s="1282"/>
      <c r="AR3" s="1283"/>
      <c r="AS3" s="1284" t="s">
        <v>1501</v>
      </c>
      <c r="AT3" s="1284">
        <v>2018</v>
      </c>
      <c r="AU3" s="1283"/>
      <c r="AV3" s="1284" t="s">
        <v>994</v>
      </c>
      <c r="AW3" s="1285"/>
      <c r="AX3" s="1283"/>
      <c r="AY3" s="1286" t="s">
        <v>1502</v>
      </c>
      <c r="AZ3" s="1287"/>
      <c r="BF3" s="1288"/>
      <c r="BP3" s="1270"/>
      <c r="BQ3" s="1271"/>
      <c r="BR3" s="1271"/>
      <c r="BS3" s="1272"/>
    </row>
    <row r="4" spans="3:71" x14ac:dyDescent="0.3">
      <c r="C4" s="1483">
        <v>1000000</v>
      </c>
      <c r="D4" s="1483">
        <f>C6</f>
        <v>588970.13066717912</v>
      </c>
      <c r="E4" s="1483">
        <f t="shared" ref="E4:G4" si="0">D6</f>
        <v>346885.8148181141</v>
      </c>
      <c r="F4" s="1483">
        <f t="shared" si="0"/>
        <v>204305.38368001557</v>
      </c>
      <c r="G4" s="1483">
        <f t="shared" si="0"/>
        <v>120329.76852202695</v>
      </c>
      <c r="K4" s="1289"/>
      <c r="L4" s="1290"/>
      <c r="M4" s="1291" t="s">
        <v>1503</v>
      </c>
      <c r="N4" s="1292"/>
      <c r="O4" s="1284">
        <v>2012</v>
      </c>
      <c r="P4" s="1284" t="s">
        <v>1504</v>
      </c>
      <c r="Q4" s="1284" t="s">
        <v>1504</v>
      </c>
      <c r="R4" s="1284" t="s">
        <v>1504</v>
      </c>
      <c r="S4" s="1284" t="s">
        <v>1504</v>
      </c>
      <c r="T4" s="1284" t="s">
        <v>1504</v>
      </c>
      <c r="U4" s="1284" t="s">
        <v>1504</v>
      </c>
      <c r="V4" s="1284" t="s">
        <v>1504</v>
      </c>
      <c r="W4" s="1284" t="s">
        <v>1505</v>
      </c>
      <c r="X4" s="1284" t="s">
        <v>1505</v>
      </c>
      <c r="Y4" s="1284" t="s">
        <v>1505</v>
      </c>
      <c r="Z4" s="1284" t="s">
        <v>1505</v>
      </c>
      <c r="AA4" s="1284" t="s">
        <v>1506</v>
      </c>
      <c r="AB4" s="1284" t="s">
        <v>1506</v>
      </c>
      <c r="AC4" s="1284" t="s">
        <v>1506</v>
      </c>
      <c r="AD4" s="1284" t="s">
        <v>1506</v>
      </c>
      <c r="AE4" s="1284" t="s">
        <v>1507</v>
      </c>
      <c r="AF4" s="1284" t="s">
        <v>1508</v>
      </c>
      <c r="AG4" s="1284" t="s">
        <v>1509</v>
      </c>
      <c r="AH4" s="1293"/>
      <c r="AJ4" s="1279"/>
      <c r="AK4" s="1283"/>
      <c r="AL4" s="1294">
        <v>2018</v>
      </c>
      <c r="AM4" s="1294">
        <v>2026</v>
      </c>
      <c r="AN4" s="1284">
        <v>2036</v>
      </c>
      <c r="AO4" s="1282"/>
      <c r="AR4" s="1283" t="s">
        <v>1510</v>
      </c>
      <c r="AS4" s="1295" t="s">
        <v>1511</v>
      </c>
      <c r="AT4" s="1296">
        <f>Z22</f>
        <v>7938476.5625000009</v>
      </c>
      <c r="AU4" s="1283" t="s">
        <v>1512</v>
      </c>
      <c r="AV4" s="1295" t="s">
        <v>1513</v>
      </c>
      <c r="AW4" s="1296">
        <f>Z29-Z30</f>
        <v>330033.9259765626</v>
      </c>
      <c r="AX4" s="1297" t="s">
        <v>1514</v>
      </c>
      <c r="AY4" s="1298">
        <f>AT5+AT10+AT15+AW10+AW15</f>
        <v>4675525.5783139654</v>
      </c>
      <c r="AZ4" s="1274"/>
      <c r="BB4" s="1295">
        <v>2014</v>
      </c>
      <c r="BC4" s="1295">
        <f>BB4+1</f>
        <v>2015</v>
      </c>
      <c r="BD4" s="1295">
        <f t="shared" ref="BD4:BL4" si="1">BC4+1</f>
        <v>2016</v>
      </c>
      <c r="BE4" s="1295">
        <f t="shared" si="1"/>
        <v>2017</v>
      </c>
      <c r="BF4" s="1295">
        <f t="shared" si="1"/>
        <v>2018</v>
      </c>
      <c r="BG4" s="1295">
        <f t="shared" si="1"/>
        <v>2019</v>
      </c>
      <c r="BH4" s="1295">
        <f t="shared" si="1"/>
        <v>2020</v>
      </c>
      <c r="BI4" s="1295">
        <f t="shared" si="1"/>
        <v>2021</v>
      </c>
      <c r="BJ4" s="1295">
        <f t="shared" si="1"/>
        <v>2022</v>
      </c>
      <c r="BK4" s="1295">
        <f t="shared" si="1"/>
        <v>2023</v>
      </c>
      <c r="BL4" s="1295">
        <f t="shared" si="1"/>
        <v>2024</v>
      </c>
      <c r="BM4" s="1299">
        <f>BL4+1</f>
        <v>2025</v>
      </c>
      <c r="BN4" s="1300"/>
      <c r="BP4" s="1279"/>
      <c r="BQ4" s="1301" t="s">
        <v>785</v>
      </c>
      <c r="BR4" s="1301">
        <v>2500000</v>
      </c>
      <c r="BS4" s="1282"/>
    </row>
    <row r="5" spans="3:71" x14ac:dyDescent="0.3">
      <c r="C5" s="1484">
        <f>AY7</f>
        <v>0.58897013066717918</v>
      </c>
      <c r="D5" s="1484">
        <f>C5</f>
        <v>0.58897013066717918</v>
      </c>
      <c r="E5" s="1484">
        <f t="shared" ref="E5:G5" si="2">D5</f>
        <v>0.58897013066717918</v>
      </c>
      <c r="F5" s="1484">
        <f t="shared" si="2"/>
        <v>0.58897013066717918</v>
      </c>
      <c r="G5" s="1484">
        <f t="shared" si="2"/>
        <v>0.58897013066717918</v>
      </c>
      <c r="I5" s="1269"/>
      <c r="K5" s="1289"/>
      <c r="L5" s="1302"/>
      <c r="M5" s="1291" t="s">
        <v>1515</v>
      </c>
      <c r="N5" s="1303"/>
      <c r="O5" s="1304"/>
      <c r="P5" s="1305" t="s">
        <v>1516</v>
      </c>
      <c r="Q5" s="1305" t="s">
        <v>1517</v>
      </c>
      <c r="R5" s="1305" t="s">
        <v>1518</v>
      </c>
      <c r="S5" s="1305" t="s">
        <v>1519</v>
      </c>
      <c r="T5" s="1305" t="s">
        <v>1520</v>
      </c>
      <c r="U5" s="1305" t="s">
        <v>1521</v>
      </c>
      <c r="V5" s="1305" t="s">
        <v>1522</v>
      </c>
      <c r="W5" s="1305" t="s">
        <v>1523</v>
      </c>
      <c r="X5" s="1305" t="s">
        <v>1524</v>
      </c>
      <c r="Y5" s="1305" t="s">
        <v>1525</v>
      </c>
      <c r="Z5" s="1305" t="s">
        <v>1526</v>
      </c>
      <c r="AA5" s="1305" t="s">
        <v>1527</v>
      </c>
      <c r="AB5" s="1305" t="s">
        <v>1528</v>
      </c>
      <c r="AC5" s="1305" t="s">
        <v>1529</v>
      </c>
      <c r="AD5" s="1305" t="s">
        <v>1530</v>
      </c>
      <c r="AE5" s="1305" t="s">
        <v>1531</v>
      </c>
      <c r="AF5" s="1305" t="s">
        <v>1532</v>
      </c>
      <c r="AG5" s="1305" t="s">
        <v>1533</v>
      </c>
      <c r="AH5" s="1293"/>
      <c r="AJ5" s="1279"/>
      <c r="AK5" s="1306" t="s">
        <v>1534</v>
      </c>
      <c r="AL5" s="1307">
        <f>Z22</f>
        <v>7938476.5625000009</v>
      </c>
      <c r="AM5" s="1307">
        <f>AE22</f>
        <v>16762344.360351563</v>
      </c>
      <c r="AN5" s="1296">
        <f>AG22</f>
        <v>28960645.67565918</v>
      </c>
      <c r="AO5" s="1282"/>
      <c r="AR5" s="1283" t="s">
        <v>1535</v>
      </c>
      <c r="AS5" s="1295" t="s">
        <v>1536</v>
      </c>
      <c r="AT5" s="1308">
        <f>Z31</f>
        <v>2441125.1369140632</v>
      </c>
      <c r="AU5" s="1283" t="s">
        <v>1537</v>
      </c>
      <c r="AV5" s="1295" t="s">
        <v>1538</v>
      </c>
      <c r="AW5" s="1296">
        <f>Z10-Z11</f>
        <v>445550</v>
      </c>
      <c r="AX5" s="1297"/>
      <c r="AY5" s="1309" t="s">
        <v>1539</v>
      </c>
      <c r="AZ5" s="1274"/>
      <c r="BB5" s="1275">
        <f>BE28</f>
        <v>317929.78476562502</v>
      </c>
      <c r="BC5" s="1275">
        <f>BE29</f>
        <v>635859.56953125005</v>
      </c>
      <c r="BD5" s="1275">
        <f>BE30</f>
        <v>953789.35429687507</v>
      </c>
      <c r="BE5" s="1310">
        <f>V31</f>
        <v>1271719.1390625001</v>
      </c>
      <c r="BF5" s="1275">
        <v>1856422</v>
      </c>
      <c r="BG5" s="1310">
        <f>Z31</f>
        <v>2441125.1369140632</v>
      </c>
      <c r="BH5" s="1275">
        <f>BG5+BM31</f>
        <v>2785275.861252442</v>
      </c>
      <c r="BI5" s="1275">
        <f>BG5+BM32</f>
        <v>3129426.5855908208</v>
      </c>
      <c r="BJ5" s="1275">
        <f>BG5+BM33</f>
        <v>3473577.3099291995</v>
      </c>
      <c r="BK5" s="1275">
        <f>BG5+BM34</f>
        <v>3817728.0342675783</v>
      </c>
      <c r="BL5" s="1310">
        <f>AD31</f>
        <v>4161878.758605957</v>
      </c>
      <c r="BM5" s="1311">
        <f>BL5+BM28</f>
        <v>5367720.5941847246</v>
      </c>
      <c r="BN5" s="1275">
        <f>SUM(BB5:BM5)</f>
        <v>30212452.128401034</v>
      </c>
      <c r="BP5" s="1279"/>
      <c r="BQ5" s="1312" t="s">
        <v>1540</v>
      </c>
      <c r="BR5" s="1312">
        <f>O36</f>
        <v>129356129.96812132</v>
      </c>
      <c r="BS5" s="1282"/>
    </row>
    <row r="6" spans="3:71" x14ac:dyDescent="0.3">
      <c r="C6" s="1485">
        <f>C4*C5</f>
        <v>588970.13066717912</v>
      </c>
      <c r="D6" s="1485">
        <f>D4*D5</f>
        <v>346885.8148181141</v>
      </c>
      <c r="E6" s="1485">
        <f t="shared" ref="E6:G6" si="3">E4*E5</f>
        <v>204305.38368001557</v>
      </c>
      <c r="F6" s="1485">
        <f t="shared" si="3"/>
        <v>120329.76852202695</v>
      </c>
      <c r="G6" s="1485">
        <f t="shared" si="3"/>
        <v>70870.639489569643</v>
      </c>
      <c r="H6" s="1485">
        <f>SUM(C6:G6)</f>
        <v>1331361.7371769054</v>
      </c>
      <c r="K6" s="1289"/>
      <c r="L6" s="1302"/>
      <c r="M6" s="1291" t="s">
        <v>785</v>
      </c>
      <c r="N6" s="1313"/>
      <c r="O6" s="1314" t="s">
        <v>1541</v>
      </c>
      <c r="P6" s="1315" t="s">
        <v>1542</v>
      </c>
      <c r="Q6" s="1315" t="s">
        <v>441</v>
      </c>
      <c r="R6" s="1315" t="s">
        <v>1543</v>
      </c>
      <c r="S6" s="1315" t="s">
        <v>1544</v>
      </c>
      <c r="T6" s="1316" t="s">
        <v>1545</v>
      </c>
      <c r="U6" s="1315" t="s">
        <v>281</v>
      </c>
      <c r="V6" s="1315" t="s">
        <v>1546</v>
      </c>
      <c r="W6" s="1315" t="s">
        <v>1547</v>
      </c>
      <c r="X6" s="1315" t="s">
        <v>1548</v>
      </c>
      <c r="Y6" s="1315" t="s">
        <v>1549</v>
      </c>
      <c r="Z6" s="1315" t="s">
        <v>994</v>
      </c>
      <c r="AA6" s="1315" t="s">
        <v>966</v>
      </c>
      <c r="AB6" s="1315" t="s">
        <v>1550</v>
      </c>
      <c r="AC6" s="1315" t="s">
        <v>1545</v>
      </c>
      <c r="AD6" s="1315" t="s">
        <v>1551</v>
      </c>
      <c r="AE6" s="1315" t="s">
        <v>1552</v>
      </c>
      <c r="AF6" s="1315" t="s">
        <v>1553</v>
      </c>
      <c r="AG6" s="1315" t="s">
        <v>1554</v>
      </c>
      <c r="AH6" s="1293"/>
      <c r="AJ6" s="1279"/>
      <c r="AK6" s="1306" t="s">
        <v>1555</v>
      </c>
      <c r="AL6" s="1307">
        <f>Z26</f>
        <v>5123688.28125</v>
      </c>
      <c r="AM6" s="1307">
        <f>AE22</f>
        <v>16762344.360351563</v>
      </c>
      <c r="AN6" s="1296">
        <f>AG26</f>
        <v>16583022.83782959</v>
      </c>
      <c r="AO6" s="1282"/>
      <c r="AR6" s="1283" t="s">
        <v>1556</v>
      </c>
      <c r="AS6" s="1317" t="s">
        <v>1557</v>
      </c>
      <c r="AT6" s="1318">
        <f>AT5/AT4</f>
        <v>0.30750549147496625</v>
      </c>
      <c r="AU6" s="1283" t="s">
        <v>1558</v>
      </c>
      <c r="AV6" s="1295" t="s">
        <v>278</v>
      </c>
      <c r="AW6" s="1296">
        <f>SUM(AW4:AW5)</f>
        <v>775583.92597656255</v>
      </c>
      <c r="AX6" s="1297"/>
      <c r="AY6" s="1319" t="s">
        <v>1559</v>
      </c>
      <c r="AZ6" s="1274"/>
      <c r="BB6" s="1295"/>
      <c r="BC6" s="1320">
        <f>BC5/BB5</f>
        <v>2</v>
      </c>
      <c r="BD6" s="1320">
        <f>BD5/BC5</f>
        <v>1.5</v>
      </c>
      <c r="BE6" s="1320">
        <f t="shared" ref="BE6:BM6" si="4">BE5/BD5</f>
        <v>1.3333333333333333</v>
      </c>
      <c r="BF6" s="1320">
        <f t="shared" si="4"/>
        <v>1.4597735796982167</v>
      </c>
      <c r="BG6" s="1320">
        <f t="shared" si="4"/>
        <v>1.3149624045147403</v>
      </c>
      <c r="BH6" s="1320">
        <f t="shared" si="4"/>
        <v>1.1409803697214127</v>
      </c>
      <c r="BI6" s="1320">
        <f t="shared" si="4"/>
        <v>1.1235607320359378</v>
      </c>
      <c r="BJ6" s="1320">
        <f t="shared" si="4"/>
        <v>1.10997245499319</v>
      </c>
      <c r="BK6" s="1320">
        <f t="shared" si="4"/>
        <v>1.0990767423988594</v>
      </c>
      <c r="BL6" s="1320">
        <f t="shared" si="4"/>
        <v>1.0901454271360644</v>
      </c>
      <c r="BM6" s="1321">
        <f t="shared" si="4"/>
        <v>1.2897349743995596</v>
      </c>
      <c r="BN6" s="1300"/>
      <c r="BP6" s="1279"/>
      <c r="BQ6" s="1322" t="s">
        <v>1560</v>
      </c>
      <c r="BR6" s="1323">
        <v>51.75</v>
      </c>
      <c r="BS6" s="1282"/>
    </row>
    <row r="7" spans="3:71" x14ac:dyDescent="0.3">
      <c r="C7" s="1479"/>
      <c r="D7" s="1479"/>
      <c r="E7" s="1479"/>
      <c r="F7" s="1479"/>
      <c r="G7" s="1479"/>
      <c r="H7" s="1479"/>
      <c r="K7" s="1289"/>
      <c r="L7" s="1324"/>
      <c r="M7" s="1325">
        <v>2500000</v>
      </c>
      <c r="N7" s="1313"/>
      <c r="O7" s="1326"/>
      <c r="P7" s="1327" t="s">
        <v>1561</v>
      </c>
      <c r="Q7" s="1327" t="s">
        <v>1562</v>
      </c>
      <c r="R7" s="1327" t="s">
        <v>1563</v>
      </c>
      <c r="S7" s="1327" t="s">
        <v>1564</v>
      </c>
      <c r="T7" s="1327" t="s">
        <v>1565</v>
      </c>
      <c r="U7" s="1327" t="s">
        <v>1565</v>
      </c>
      <c r="V7" s="1327" t="s">
        <v>1241</v>
      </c>
      <c r="W7" s="1327" t="s">
        <v>1566</v>
      </c>
      <c r="X7" s="1327" t="s">
        <v>1567</v>
      </c>
      <c r="Y7" s="1327" t="s">
        <v>1568</v>
      </c>
      <c r="Z7" s="1327" t="s">
        <v>1569</v>
      </c>
      <c r="AA7" s="1327" t="s">
        <v>1515</v>
      </c>
      <c r="AB7" s="1327" t="s">
        <v>1570</v>
      </c>
      <c r="AC7" s="1328" t="s">
        <v>1565</v>
      </c>
      <c r="AD7" s="1328" t="s">
        <v>1565</v>
      </c>
      <c r="AE7" s="1327" t="s">
        <v>1571</v>
      </c>
      <c r="AF7" s="1327" t="s">
        <v>1572</v>
      </c>
      <c r="AG7" s="1327" t="s">
        <v>1573</v>
      </c>
      <c r="AH7" s="1293"/>
      <c r="AJ7" s="1279"/>
      <c r="AK7" s="1306" t="s">
        <v>1536</v>
      </c>
      <c r="AL7" s="1329">
        <f>Z31</f>
        <v>2441125.1369140632</v>
      </c>
      <c r="AM7" s="1329">
        <f>AE31</f>
        <v>5976108.8982574465</v>
      </c>
      <c r="AN7" s="1330">
        <f>AG31</f>
        <v>10734493.406107713</v>
      </c>
      <c r="AO7" s="1282"/>
      <c r="AR7" s="1283"/>
      <c r="AS7" s="1284" t="s">
        <v>281</v>
      </c>
      <c r="AT7" s="1285"/>
      <c r="AU7" s="1283" t="s">
        <v>1574</v>
      </c>
      <c r="AV7" s="1295" t="s">
        <v>1575</v>
      </c>
      <c r="AW7" s="1296">
        <f>AW6*25%</f>
        <v>193895.98149414064</v>
      </c>
      <c r="AX7" s="1297" t="s">
        <v>1576</v>
      </c>
      <c r="AY7" s="1331">
        <f>AY4/AT4</f>
        <v>0.58897013066717918</v>
      </c>
      <c r="AZ7" s="1332"/>
      <c r="BB7" s="1295">
        <f>BM4+1</f>
        <v>2026</v>
      </c>
      <c r="BC7" s="1295">
        <f t="shared" ref="BC7:BL7" si="5">BB7+1</f>
        <v>2027</v>
      </c>
      <c r="BD7" s="1295">
        <f t="shared" si="5"/>
        <v>2028</v>
      </c>
      <c r="BE7" s="1295">
        <f t="shared" si="5"/>
        <v>2029</v>
      </c>
      <c r="BF7" s="1295">
        <f t="shared" si="5"/>
        <v>2030</v>
      </c>
      <c r="BG7" s="1295">
        <f t="shared" si="5"/>
        <v>2031</v>
      </c>
      <c r="BH7" s="1295">
        <f t="shared" si="5"/>
        <v>2032</v>
      </c>
      <c r="BI7" s="1295">
        <f t="shared" si="5"/>
        <v>2033</v>
      </c>
      <c r="BJ7" s="1295">
        <f t="shared" si="5"/>
        <v>2034</v>
      </c>
      <c r="BK7" s="1295">
        <f t="shared" si="5"/>
        <v>2035</v>
      </c>
      <c r="BL7" s="1295">
        <f t="shared" si="5"/>
        <v>2036</v>
      </c>
      <c r="BM7" s="1299"/>
      <c r="BN7" s="1300"/>
      <c r="BP7" s="1279"/>
      <c r="BQ7" s="1284" t="s">
        <v>1577</v>
      </c>
      <c r="BR7" s="1333">
        <v>0.19650000000000001</v>
      </c>
      <c r="BS7" s="1282"/>
    </row>
    <row r="8" spans="3:71" x14ac:dyDescent="0.3">
      <c r="C8" s="1482">
        <v>6</v>
      </c>
      <c r="D8" s="1482">
        <v>7</v>
      </c>
      <c r="E8" s="1482">
        <v>8</v>
      </c>
      <c r="F8" s="1482">
        <v>9</v>
      </c>
      <c r="G8" s="1482">
        <v>10</v>
      </c>
      <c r="K8" s="1289"/>
      <c r="L8" s="1283" t="s">
        <v>1510</v>
      </c>
      <c r="M8" s="1292" t="s">
        <v>1578</v>
      </c>
      <c r="N8" s="1334"/>
      <c r="O8" s="1335">
        <v>100000</v>
      </c>
      <c r="P8" s="1335">
        <f t="shared" ref="P8:V8" si="6">O8</f>
        <v>100000</v>
      </c>
      <c r="Q8" s="1335">
        <f t="shared" si="6"/>
        <v>100000</v>
      </c>
      <c r="R8" s="1335">
        <f t="shared" si="6"/>
        <v>100000</v>
      </c>
      <c r="S8" s="1335">
        <f t="shared" si="6"/>
        <v>100000</v>
      </c>
      <c r="T8" s="1335">
        <f t="shared" si="6"/>
        <v>100000</v>
      </c>
      <c r="U8" s="1335">
        <f t="shared" si="6"/>
        <v>100000</v>
      </c>
      <c r="V8" s="1335">
        <f t="shared" si="6"/>
        <v>100000</v>
      </c>
      <c r="W8" s="1336">
        <v>125000</v>
      </c>
      <c r="X8" s="1335">
        <v>125000</v>
      </c>
      <c r="Y8" s="1335">
        <v>125000</v>
      </c>
      <c r="Z8" s="1335">
        <v>125000</v>
      </c>
      <c r="AA8" s="1336">
        <v>150000</v>
      </c>
      <c r="AB8" s="1335">
        <v>150000</v>
      </c>
      <c r="AC8" s="1335">
        <v>150000</v>
      </c>
      <c r="AD8" s="1335">
        <v>150000</v>
      </c>
      <c r="AE8" s="1335">
        <v>200000</v>
      </c>
      <c r="AF8" s="1335">
        <v>250000</v>
      </c>
      <c r="AG8" s="1335">
        <v>250000</v>
      </c>
      <c r="AH8" s="1293"/>
      <c r="AJ8" s="1279"/>
      <c r="AK8" s="1306" t="s">
        <v>1579</v>
      </c>
      <c r="AL8" s="1337">
        <f>AL7/AL5</f>
        <v>0.30750549147496625</v>
      </c>
      <c r="AM8" s="1337">
        <f>AM7/AM5</f>
        <v>0.35651987393797385</v>
      </c>
      <c r="AN8" s="1337">
        <f>AN7/AN5</f>
        <v>0.37065794479609376</v>
      </c>
      <c r="AO8" s="1282"/>
      <c r="AR8" s="1283" t="s">
        <v>1580</v>
      </c>
      <c r="AS8" s="1295" t="s">
        <v>1581</v>
      </c>
      <c r="AT8" s="1296">
        <f>Z24</f>
        <v>3175390.6250000005</v>
      </c>
      <c r="AU8" s="1283" t="s">
        <v>1582</v>
      </c>
      <c r="AV8" s="1295" t="s">
        <v>1583</v>
      </c>
      <c r="AW8" s="1296">
        <f>AW6-AW7</f>
        <v>581687.94448242197</v>
      </c>
      <c r="AX8" s="1297"/>
      <c r="AY8" s="1309" t="s">
        <v>1584</v>
      </c>
      <c r="AZ8" s="1332"/>
      <c r="BB8" s="1275">
        <f>BL5+BM29</f>
        <v>6573562.4297634931</v>
      </c>
      <c r="BC8" s="1310">
        <f>AF31</f>
        <v>7779766.0540718082</v>
      </c>
      <c r="BD8" s="1275">
        <f>BC8+BI28</f>
        <v>8108036.2628829973</v>
      </c>
      <c r="BE8" s="1275">
        <f>BC8+BI29</f>
        <v>8436306.4716941863</v>
      </c>
      <c r="BF8" s="1275">
        <f>BC8+BI30</f>
        <v>8764576.6805053744</v>
      </c>
      <c r="BG8" s="1275">
        <f>BC8+BI31</f>
        <v>9092846.8893165644</v>
      </c>
      <c r="BH8" s="1275">
        <f>BC8+BI32</f>
        <v>9421117.0981277525</v>
      </c>
      <c r="BI8" s="1275">
        <f>BC8+BI33</f>
        <v>9749387.3069389425</v>
      </c>
      <c r="BJ8" s="1275">
        <f>BC8+BI36</f>
        <v>10077657.515750131</v>
      </c>
      <c r="BK8" s="1275">
        <f>BC8+BI37</f>
        <v>10405927.724561321</v>
      </c>
      <c r="BL8" s="1275">
        <f>AG31</f>
        <v>10734493.406107713</v>
      </c>
      <c r="BM8" s="1311"/>
      <c r="BN8" s="1275">
        <f>SUM(BB8:BM8)</f>
        <v>99143677.839720279</v>
      </c>
      <c r="BP8" s="1279"/>
      <c r="BQ8" s="1284" t="s">
        <v>1585</v>
      </c>
      <c r="BR8" s="1338">
        <v>0.22650000000000001</v>
      </c>
      <c r="BS8" s="1282"/>
    </row>
    <row r="9" spans="3:71" x14ac:dyDescent="0.3">
      <c r="C9" s="1483">
        <f>G6</f>
        <v>70870.639489569643</v>
      </c>
      <c r="D9" s="1483">
        <f>C11</f>
        <v>41740.689800638378</v>
      </c>
      <c r="E9" s="1483">
        <f t="shared" ref="E9:G9" si="7">D11</f>
        <v>24584.01952602018</v>
      </c>
      <c r="F9" s="1483">
        <f t="shared" si="7"/>
        <v>14479.253192564589</v>
      </c>
      <c r="G9" s="1483">
        <f t="shared" si="7"/>
        <v>8527.8476447879366</v>
      </c>
      <c r="H9" s="1479"/>
      <c r="K9" s="1289"/>
      <c r="L9" s="1283" t="s">
        <v>1535</v>
      </c>
      <c r="M9" s="1292" t="s">
        <v>1586</v>
      </c>
      <c r="N9" s="1334"/>
      <c r="O9" s="1339">
        <v>250000</v>
      </c>
      <c r="P9" s="1339">
        <v>250000</v>
      </c>
      <c r="Q9" s="1339">
        <v>250000</v>
      </c>
      <c r="R9" s="1339">
        <v>250000</v>
      </c>
      <c r="S9" s="1340">
        <v>350000</v>
      </c>
      <c r="T9" s="1339">
        <f>S9</f>
        <v>350000</v>
      </c>
      <c r="U9" s="1339">
        <f>T9</f>
        <v>350000</v>
      </c>
      <c r="V9" s="1339">
        <f>U9</f>
        <v>350000</v>
      </c>
      <c r="W9" s="1339">
        <f>V9</f>
        <v>350000</v>
      </c>
      <c r="X9" s="1339">
        <f>V9</f>
        <v>350000</v>
      </c>
      <c r="Y9" s="1339">
        <f t="shared" ref="Y9:AD9" si="8">X9</f>
        <v>350000</v>
      </c>
      <c r="Z9" s="1339">
        <f t="shared" si="8"/>
        <v>350000</v>
      </c>
      <c r="AA9" s="1339">
        <f t="shared" si="8"/>
        <v>350000</v>
      </c>
      <c r="AB9" s="1339">
        <f t="shared" si="8"/>
        <v>350000</v>
      </c>
      <c r="AC9" s="1339">
        <f t="shared" si="8"/>
        <v>350000</v>
      </c>
      <c r="AD9" s="1339">
        <f t="shared" si="8"/>
        <v>350000</v>
      </c>
      <c r="AE9" s="1341">
        <v>450000</v>
      </c>
      <c r="AF9" s="1341">
        <v>550000</v>
      </c>
      <c r="AG9" s="1341">
        <v>600000</v>
      </c>
      <c r="AH9" s="1293"/>
      <c r="AJ9" s="1279"/>
      <c r="AK9" s="1280" t="s">
        <v>1587</v>
      </c>
      <c r="AL9" s="1342">
        <f>AL7/AL11</f>
        <v>0.9764500547656253</v>
      </c>
      <c r="AM9" s="1342">
        <f>AM7/AL11</f>
        <v>2.3904435593029785</v>
      </c>
      <c r="AN9" s="1342">
        <f>AN7/AL11</f>
        <v>4.293797362443085</v>
      </c>
      <c r="AO9" s="1282"/>
      <c r="AR9" s="1283" t="s">
        <v>1588</v>
      </c>
      <c r="AS9" s="1295" t="s">
        <v>1589</v>
      </c>
      <c r="AT9" s="1343">
        <v>0.54</v>
      </c>
      <c r="AU9" s="1283" t="s">
        <v>1590</v>
      </c>
      <c r="AV9" s="1295" t="s">
        <v>1589</v>
      </c>
      <c r="AW9" s="1343">
        <v>0.28999999999999998</v>
      </c>
      <c r="AX9" s="1297"/>
      <c r="AY9" s="1319" t="s">
        <v>802</v>
      </c>
      <c r="AZ9" s="1287"/>
      <c r="BB9" s="1320">
        <f>BB8/BM5</f>
        <v>1.2246469082025528</v>
      </c>
      <c r="BC9" s="1320">
        <f t="shared" ref="BC9:BM9" si="9">BC8/BB8</f>
        <v>1.1834931419905466</v>
      </c>
      <c r="BD9" s="1320">
        <f t="shared" si="9"/>
        <v>1.0421953830654558</v>
      </c>
      <c r="BE9" s="1320">
        <f t="shared" si="9"/>
        <v>1.040487017838579</v>
      </c>
      <c r="BF9" s="1320">
        <f t="shared" si="9"/>
        <v>1.0389116030709189</v>
      </c>
      <c r="BG9" s="1320">
        <f t="shared" si="9"/>
        <v>1.0374542001031659</v>
      </c>
      <c r="BH9" s="1320">
        <f t="shared" si="9"/>
        <v>1.0361020275395687</v>
      </c>
      <c r="BI9" s="1320">
        <f t="shared" si="9"/>
        <v>1.0348440854085581</v>
      </c>
      <c r="BJ9" s="1320">
        <f t="shared" si="9"/>
        <v>1.0336708552523652</v>
      </c>
      <c r="BK9" s="1320">
        <f t="shared" si="9"/>
        <v>1.0325740588324364</v>
      </c>
      <c r="BL9" s="1320">
        <f t="shared" si="9"/>
        <v>1.0315748571625067</v>
      </c>
      <c r="BM9" s="1321">
        <f t="shared" si="9"/>
        <v>0</v>
      </c>
      <c r="BN9" s="1300"/>
      <c r="BP9" s="1279"/>
      <c r="BQ9" s="1322" t="s">
        <v>1591</v>
      </c>
      <c r="BR9" s="1344">
        <v>3.3000000000000002E-2</v>
      </c>
      <c r="BS9" s="1282"/>
    </row>
    <row r="10" spans="3:71" x14ac:dyDescent="0.3">
      <c r="C10" s="1484">
        <f>G5</f>
        <v>0.58897013066717918</v>
      </c>
      <c r="D10" s="1484">
        <f>C10</f>
        <v>0.58897013066717918</v>
      </c>
      <c r="E10" s="1484">
        <f t="shared" ref="E10:G10" si="10">D10</f>
        <v>0.58897013066717918</v>
      </c>
      <c r="F10" s="1484">
        <f t="shared" si="10"/>
        <v>0.58897013066717918</v>
      </c>
      <c r="G10" s="1484">
        <f t="shared" si="10"/>
        <v>0.58897013066717918</v>
      </c>
      <c r="K10" s="1289"/>
      <c r="L10" s="1283" t="s">
        <v>1556</v>
      </c>
      <c r="M10" s="1292" t="s">
        <v>1592</v>
      </c>
      <c r="N10" s="1345"/>
      <c r="O10" s="1346">
        <f>SUM(O8:O9)</f>
        <v>350000</v>
      </c>
      <c r="P10" s="1346">
        <f t="shared" ref="P10:AG10" si="11">SUM(P8:P9)</f>
        <v>350000</v>
      </c>
      <c r="Q10" s="1346">
        <f t="shared" si="11"/>
        <v>350000</v>
      </c>
      <c r="R10" s="1346">
        <f t="shared" si="11"/>
        <v>350000</v>
      </c>
      <c r="S10" s="1346">
        <f t="shared" si="11"/>
        <v>450000</v>
      </c>
      <c r="T10" s="1346">
        <f>SUM(T8:T9)</f>
        <v>450000</v>
      </c>
      <c r="U10" s="1346">
        <f>SUM(U8:U9)</f>
        <v>450000</v>
      </c>
      <c r="V10" s="1346">
        <f>SUM(V8:V9)</f>
        <v>450000</v>
      </c>
      <c r="W10" s="1346">
        <f>SUM(W8:W9)</f>
        <v>475000</v>
      </c>
      <c r="X10" s="1346">
        <f>SUM(X8:X9)</f>
        <v>475000</v>
      </c>
      <c r="Y10" s="1346">
        <f t="shared" si="11"/>
        <v>475000</v>
      </c>
      <c r="Z10" s="1346">
        <f t="shared" si="11"/>
        <v>475000</v>
      </c>
      <c r="AA10" s="1346">
        <f t="shared" si="11"/>
        <v>500000</v>
      </c>
      <c r="AB10" s="1346">
        <f t="shared" si="11"/>
        <v>500000</v>
      </c>
      <c r="AC10" s="1346">
        <f t="shared" si="11"/>
        <v>500000</v>
      </c>
      <c r="AD10" s="1346">
        <f t="shared" si="11"/>
        <v>500000</v>
      </c>
      <c r="AE10" s="1346">
        <f t="shared" si="11"/>
        <v>650000</v>
      </c>
      <c r="AF10" s="1346">
        <f t="shared" si="11"/>
        <v>800000</v>
      </c>
      <c r="AG10" s="1346">
        <f t="shared" si="11"/>
        <v>850000</v>
      </c>
      <c r="AH10" s="1293"/>
      <c r="AJ10" s="1279"/>
      <c r="AK10" s="1306" t="s">
        <v>1593</v>
      </c>
      <c r="AL10" s="1347">
        <f>BF2</f>
        <v>5035719.84765625</v>
      </c>
      <c r="AM10" s="1347">
        <f>BB12</f>
        <v>36786014.55816453</v>
      </c>
      <c r="AN10" s="1330">
        <f>BN10</f>
        <v>129356129.96812132</v>
      </c>
      <c r="AO10" s="1282"/>
      <c r="AR10" s="1283" t="s">
        <v>1594</v>
      </c>
      <c r="AS10" s="1295" t="s">
        <v>1595</v>
      </c>
      <c r="AT10" s="1308">
        <f>AT8*AT9</f>
        <v>1714710.9375000005</v>
      </c>
      <c r="AU10" s="1283" t="s">
        <v>1596</v>
      </c>
      <c r="AV10" s="1295" t="s">
        <v>1597</v>
      </c>
      <c r="AW10" s="1308">
        <f>AW8*AW9</f>
        <v>168689.50389990237</v>
      </c>
      <c r="AX10" s="1297" t="s">
        <v>1598</v>
      </c>
      <c r="AY10" s="1348">
        <v>0.25</v>
      </c>
      <c r="AZ10" s="1349"/>
      <c r="BB10" s="1350"/>
      <c r="BC10" s="1351"/>
      <c r="BD10" s="1351"/>
      <c r="BE10" s="1351"/>
      <c r="BF10" s="1351"/>
      <c r="BG10" s="1351"/>
      <c r="BH10" s="1351"/>
      <c r="BI10" s="1351"/>
      <c r="BJ10" s="1351"/>
      <c r="BK10" s="1351"/>
      <c r="BL10" s="1351"/>
      <c r="BM10" s="1351"/>
      <c r="BN10" s="1275">
        <f>SUM(BN4:BN9)</f>
        <v>129356129.96812132</v>
      </c>
      <c r="BP10" s="1350"/>
      <c r="BQ10" s="1351"/>
      <c r="BR10" s="1351"/>
      <c r="BS10" s="1352"/>
    </row>
    <row r="11" spans="3:71" x14ac:dyDescent="0.3">
      <c r="C11" s="1485">
        <f>C9*C10</f>
        <v>41740.689800638378</v>
      </c>
      <c r="D11" s="1485">
        <f t="shared" ref="D11" si="12">D9*D10</f>
        <v>24584.01952602018</v>
      </c>
      <c r="E11" s="1485">
        <f t="shared" ref="E11" si="13">E9*E10</f>
        <v>14479.253192564589</v>
      </c>
      <c r="F11" s="1485">
        <f t="shared" ref="F11" si="14">F9*F10</f>
        <v>8527.8476447879366</v>
      </c>
      <c r="G11" s="1485">
        <f t="shared" ref="G11" si="15">G9*G10</f>
        <v>5022.6475416605472</v>
      </c>
      <c r="H11" s="1486">
        <f>SUM(C11:G11)</f>
        <v>94354.457705671637</v>
      </c>
      <c r="K11" s="1289"/>
      <c r="L11" s="1283" t="s">
        <v>1580</v>
      </c>
      <c r="M11" s="1292" t="s">
        <v>1599</v>
      </c>
      <c r="N11" s="1353">
        <v>6.2E-2</v>
      </c>
      <c r="O11" s="1339">
        <f>O10*6.2%</f>
        <v>21700</v>
      </c>
      <c r="P11" s="1339">
        <f t="shared" ref="P11:AG11" si="16">P10*6.2%</f>
        <v>21700</v>
      </c>
      <c r="Q11" s="1339">
        <f t="shared" si="16"/>
        <v>21700</v>
      </c>
      <c r="R11" s="1339">
        <f t="shared" si="16"/>
        <v>21700</v>
      </c>
      <c r="S11" s="1339">
        <f t="shared" si="16"/>
        <v>27900</v>
      </c>
      <c r="T11" s="1339">
        <f t="shared" si="16"/>
        <v>27900</v>
      </c>
      <c r="U11" s="1339">
        <f t="shared" si="16"/>
        <v>27900</v>
      </c>
      <c r="V11" s="1339">
        <f t="shared" si="16"/>
        <v>27900</v>
      </c>
      <c r="W11" s="1339">
        <f t="shared" si="16"/>
        <v>29450</v>
      </c>
      <c r="X11" s="1339">
        <f t="shared" si="16"/>
        <v>29450</v>
      </c>
      <c r="Y11" s="1339">
        <f t="shared" si="16"/>
        <v>29450</v>
      </c>
      <c r="Z11" s="1339">
        <f t="shared" si="16"/>
        <v>29450</v>
      </c>
      <c r="AA11" s="1339">
        <f t="shared" si="16"/>
        <v>31000</v>
      </c>
      <c r="AB11" s="1339">
        <f t="shared" si="16"/>
        <v>31000</v>
      </c>
      <c r="AC11" s="1339">
        <f t="shared" si="16"/>
        <v>31000</v>
      </c>
      <c r="AD11" s="1339">
        <f t="shared" si="16"/>
        <v>31000</v>
      </c>
      <c r="AE11" s="1339">
        <f t="shared" si="16"/>
        <v>40300</v>
      </c>
      <c r="AF11" s="1339">
        <f t="shared" si="16"/>
        <v>49600</v>
      </c>
      <c r="AG11" s="1339">
        <f t="shared" si="16"/>
        <v>52700</v>
      </c>
      <c r="AH11" s="1293"/>
      <c r="AJ11" s="1279"/>
      <c r="AK11" s="1306" t="s">
        <v>1600</v>
      </c>
      <c r="AL11" s="1307">
        <f>O33</f>
        <v>2500000</v>
      </c>
      <c r="AM11" s="1354"/>
      <c r="AN11" s="1355"/>
      <c r="AO11" s="1282"/>
      <c r="AR11" s="1283" t="s">
        <v>1601</v>
      </c>
      <c r="AS11" s="1317" t="s">
        <v>1602</v>
      </c>
      <c r="AT11" s="1356">
        <f>AT10/AT4</f>
        <v>0.21600000000000003</v>
      </c>
      <c r="AU11" s="1283" t="s">
        <v>899</v>
      </c>
      <c r="AV11" s="1317" t="s">
        <v>1603</v>
      </c>
      <c r="AW11" s="1356">
        <f>AW10/AT4</f>
        <v>2.1249606592877352E-2</v>
      </c>
      <c r="AX11" s="1297"/>
      <c r="AY11" s="1309" t="s">
        <v>1604</v>
      </c>
      <c r="AZ11" s="1349"/>
      <c r="BB11" s="1288"/>
    </row>
    <row r="12" spans="3:71" x14ac:dyDescent="0.3">
      <c r="K12" s="1289"/>
      <c r="L12" s="1283" t="s">
        <v>1588</v>
      </c>
      <c r="M12" s="1292" t="s">
        <v>1547</v>
      </c>
      <c r="N12" s="1334"/>
      <c r="O12" s="1339">
        <v>75000</v>
      </c>
      <c r="P12" s="1339">
        <f>O12</f>
        <v>75000</v>
      </c>
      <c r="Q12" s="1339">
        <f>P12</f>
        <v>75000</v>
      </c>
      <c r="R12" s="1339">
        <f t="shared" ref="R12:V13" si="17">Q12</f>
        <v>75000</v>
      </c>
      <c r="S12" s="1339">
        <f t="shared" si="17"/>
        <v>75000</v>
      </c>
      <c r="T12" s="1339">
        <f t="shared" si="17"/>
        <v>75000</v>
      </c>
      <c r="U12" s="1339">
        <f t="shared" si="17"/>
        <v>75000</v>
      </c>
      <c r="V12" s="1339">
        <f t="shared" si="17"/>
        <v>75000</v>
      </c>
      <c r="W12" s="1357">
        <v>0</v>
      </c>
      <c r="X12" s="1339"/>
      <c r="Y12" s="1339"/>
      <c r="Z12" s="1339"/>
      <c r="AA12" s="1339"/>
      <c r="AB12" s="1339"/>
      <c r="AC12" s="1339"/>
      <c r="AD12" s="1339"/>
      <c r="AE12" s="1339"/>
      <c r="AF12" s="1339"/>
      <c r="AG12" s="1339"/>
      <c r="AH12" s="1293"/>
      <c r="AJ12" s="1279"/>
      <c r="AK12" s="1306" t="s">
        <v>1605</v>
      </c>
      <c r="AL12" s="1358">
        <f>AL10/AL11</f>
        <v>2.0142879390625001</v>
      </c>
      <c r="AM12" s="1358">
        <f>AM10/AL11</f>
        <v>14.714405823265812</v>
      </c>
      <c r="AN12" s="1358">
        <f>AN10/AL11</f>
        <v>51.742451987248529</v>
      </c>
      <c r="AO12" s="1282"/>
      <c r="AR12" s="1283"/>
      <c r="AS12" s="1292" t="s">
        <v>1606</v>
      </c>
      <c r="AT12" s="1359"/>
      <c r="AU12" s="1283"/>
      <c r="AV12" s="1284" t="s">
        <v>1607</v>
      </c>
      <c r="AW12" s="1360"/>
      <c r="AX12" s="1297"/>
      <c r="AY12" s="1319" t="s">
        <v>1608</v>
      </c>
      <c r="AZ12" s="1361"/>
      <c r="BB12" s="1275">
        <f>BN5+BB8</f>
        <v>36786014.55816453</v>
      </c>
      <c r="BG12" s="1362"/>
    </row>
    <row r="13" spans="3:71" ht="14.4" thickBot="1" x14ac:dyDescent="0.35">
      <c r="C13" s="1479"/>
      <c r="D13" s="1479"/>
      <c r="E13" s="1479"/>
      <c r="F13" s="1479"/>
      <c r="G13" s="1479"/>
      <c r="H13" s="1487">
        <f>SUM(H6:H12)</f>
        <v>1425716.1948825771</v>
      </c>
      <c r="K13" s="1289"/>
      <c r="L13" s="1283" t="s">
        <v>1594</v>
      </c>
      <c r="M13" s="1292" t="s">
        <v>1609</v>
      </c>
      <c r="N13" s="1334"/>
      <c r="O13" s="1339">
        <v>150000</v>
      </c>
      <c r="P13" s="1339">
        <f>O13</f>
        <v>150000</v>
      </c>
      <c r="Q13" s="1339">
        <f>P13</f>
        <v>150000</v>
      </c>
      <c r="R13" s="1339">
        <f t="shared" si="17"/>
        <v>150000</v>
      </c>
      <c r="S13" s="1339">
        <f t="shared" si="17"/>
        <v>150000</v>
      </c>
      <c r="T13" s="1339">
        <f t="shared" si="17"/>
        <v>150000</v>
      </c>
      <c r="U13" s="1339">
        <f t="shared" si="17"/>
        <v>150000</v>
      </c>
      <c r="V13" s="1339">
        <f t="shared" si="17"/>
        <v>150000</v>
      </c>
      <c r="W13" s="1357">
        <v>0</v>
      </c>
      <c r="X13" s="1339"/>
      <c r="Y13" s="1339"/>
      <c r="Z13" s="1339"/>
      <c r="AA13" s="1339"/>
      <c r="AB13" s="1339"/>
      <c r="AC13" s="1339"/>
      <c r="AD13" s="1339"/>
      <c r="AE13" s="1339"/>
      <c r="AF13" s="1339"/>
      <c r="AG13" s="1339"/>
      <c r="AH13" s="1293"/>
      <c r="AJ13" s="1350"/>
      <c r="AK13" s="1351"/>
      <c r="AL13" s="1351"/>
      <c r="AM13" s="1351"/>
      <c r="AN13" s="1351"/>
      <c r="AO13" s="1352"/>
      <c r="AR13" s="1283" t="s">
        <v>1610</v>
      </c>
      <c r="AS13" s="1295" t="s">
        <v>1581</v>
      </c>
      <c r="AT13" s="1296">
        <f>Z15</f>
        <v>300000</v>
      </c>
      <c r="AU13" s="1283" t="s">
        <v>1611</v>
      </c>
      <c r="AV13" s="1295" t="s">
        <v>1581</v>
      </c>
      <c r="AW13" s="1296">
        <f>Z16</f>
        <v>350000</v>
      </c>
      <c r="AX13" s="1297" t="s">
        <v>1612</v>
      </c>
      <c r="AY13" s="1363">
        <f>AY7+AY10</f>
        <v>0.83897013066717918</v>
      </c>
      <c r="AZ13" s="1274"/>
      <c r="BE13" s="1364"/>
      <c r="BG13" s="1364"/>
    </row>
    <row r="14" spans="3:71" ht="14.4" thickTop="1" x14ac:dyDescent="0.3">
      <c r="H14" s="1479">
        <v>1.425</v>
      </c>
      <c r="K14" s="1289"/>
      <c r="L14" s="1283" t="s">
        <v>1601</v>
      </c>
      <c r="M14" s="1292" t="s">
        <v>1613</v>
      </c>
      <c r="N14" s="1334"/>
      <c r="O14" s="1339">
        <v>100000</v>
      </c>
      <c r="P14" s="1357">
        <v>0</v>
      </c>
      <c r="Q14" s="1339"/>
      <c r="R14" s="1339"/>
      <c r="S14" s="1339"/>
      <c r="T14" s="1339"/>
      <c r="U14" s="1339"/>
      <c r="V14" s="1339"/>
      <c r="W14" s="1339"/>
      <c r="X14" s="1339"/>
      <c r="Y14" s="1339"/>
      <c r="Z14" s="1339"/>
      <c r="AA14" s="1339"/>
      <c r="AB14" s="1339"/>
      <c r="AC14" s="1339"/>
      <c r="AD14" s="1339"/>
      <c r="AE14" s="1339"/>
      <c r="AF14" s="1339"/>
      <c r="AG14" s="1339"/>
      <c r="AH14" s="1293"/>
      <c r="AR14" s="1283" t="s">
        <v>1614</v>
      </c>
      <c r="AS14" s="1295" t="s">
        <v>1589</v>
      </c>
      <c r="AT14" s="1343">
        <v>0.54</v>
      </c>
      <c r="AU14" s="1283" t="s">
        <v>1615</v>
      </c>
      <c r="AV14" s="1295" t="s">
        <v>1589</v>
      </c>
      <c r="AW14" s="1343">
        <v>0.54</v>
      </c>
      <c r="AX14" s="1297"/>
      <c r="AY14" s="1309" t="s">
        <v>1616</v>
      </c>
      <c r="AZ14" s="1274"/>
    </row>
    <row r="15" spans="3:71" x14ac:dyDescent="0.3">
      <c r="H15" s="1478">
        <f>C4*H14</f>
        <v>1425000</v>
      </c>
      <c r="K15" s="1289"/>
      <c r="L15" s="1283" t="s">
        <v>1610</v>
      </c>
      <c r="M15" s="1292" t="s">
        <v>1617</v>
      </c>
      <c r="N15" s="1334"/>
      <c r="O15" s="1339">
        <v>125000</v>
      </c>
      <c r="P15" s="1339">
        <v>150000</v>
      </c>
      <c r="Q15" s="1339">
        <v>150000</v>
      </c>
      <c r="R15" s="1357">
        <v>100000</v>
      </c>
      <c r="S15" s="1339">
        <v>100000</v>
      </c>
      <c r="T15" s="1339">
        <v>100000</v>
      </c>
      <c r="U15" s="1339">
        <v>100000</v>
      </c>
      <c r="V15" s="1339">
        <v>100000</v>
      </c>
      <c r="W15" s="1339">
        <v>100000</v>
      </c>
      <c r="X15" s="1341">
        <v>300000</v>
      </c>
      <c r="Y15" s="1339">
        <v>300000</v>
      </c>
      <c r="Z15" s="1339">
        <v>300000</v>
      </c>
      <c r="AA15" s="1339">
        <v>300000</v>
      </c>
      <c r="AB15" s="1339">
        <v>300000</v>
      </c>
      <c r="AC15" s="1339">
        <v>300000</v>
      </c>
      <c r="AD15" s="1339">
        <v>300000</v>
      </c>
      <c r="AE15" s="1339">
        <v>300000</v>
      </c>
      <c r="AF15" s="1341">
        <v>400000</v>
      </c>
      <c r="AG15" s="1341">
        <v>500000</v>
      </c>
      <c r="AH15" s="1293"/>
      <c r="AR15" s="1283" t="s">
        <v>1618</v>
      </c>
      <c r="AS15" s="1295" t="s">
        <v>1619</v>
      </c>
      <c r="AT15" s="1308">
        <f>AT13*AT14</f>
        <v>162000</v>
      </c>
      <c r="AU15" s="1283" t="s">
        <v>1620</v>
      </c>
      <c r="AV15" s="1295" t="s">
        <v>1621</v>
      </c>
      <c r="AW15" s="1308">
        <f>AW13*AW14</f>
        <v>189000</v>
      </c>
      <c r="AX15" s="1297"/>
      <c r="AY15" s="1319" t="s">
        <v>1622</v>
      </c>
      <c r="AZ15" s="1274"/>
      <c r="BE15" s="1362"/>
    </row>
    <row r="16" spans="3:71" x14ac:dyDescent="0.3">
      <c r="C16" s="1482">
        <v>1</v>
      </c>
      <c r="D16" s="1482">
        <v>2</v>
      </c>
      <c r="E16" s="1482">
        <v>3</v>
      </c>
      <c r="F16" s="1482">
        <v>4</v>
      </c>
      <c r="G16" s="1482">
        <v>5</v>
      </c>
      <c r="H16" s="1481"/>
      <c r="K16" s="1289"/>
      <c r="L16" s="1283" t="s">
        <v>1614</v>
      </c>
      <c r="M16" s="1292" t="s">
        <v>1607</v>
      </c>
      <c r="N16" s="1334"/>
      <c r="O16" s="1339">
        <v>328300</v>
      </c>
      <c r="P16" s="1365">
        <f>O16</f>
        <v>328300</v>
      </c>
      <c r="Q16" s="1357">
        <v>275000</v>
      </c>
      <c r="R16" s="1339">
        <f>Q16</f>
        <v>275000</v>
      </c>
      <c r="S16" s="1340">
        <v>300000</v>
      </c>
      <c r="T16" s="1339">
        <f>S16</f>
        <v>300000</v>
      </c>
      <c r="U16" s="1339">
        <f>T16</f>
        <v>300000</v>
      </c>
      <c r="V16" s="1340">
        <v>350000</v>
      </c>
      <c r="W16" s="1339">
        <f>V16</f>
        <v>350000</v>
      </c>
      <c r="X16" s="1339">
        <v>350000</v>
      </c>
      <c r="Y16" s="1339">
        <f>X16</f>
        <v>350000</v>
      </c>
      <c r="Z16" s="1339">
        <v>350000</v>
      </c>
      <c r="AA16" s="1366">
        <v>225000</v>
      </c>
      <c r="AB16" s="1341">
        <v>300000</v>
      </c>
      <c r="AC16" s="1339">
        <v>300000</v>
      </c>
      <c r="AD16" s="1341">
        <v>400000</v>
      </c>
      <c r="AE16" s="1341">
        <v>500000</v>
      </c>
      <c r="AF16" s="1341">
        <v>600000</v>
      </c>
      <c r="AG16" s="1341">
        <v>700000</v>
      </c>
      <c r="AH16" s="1293"/>
      <c r="AK16" s="1367"/>
      <c r="AR16" s="1368" t="s">
        <v>1623</v>
      </c>
      <c r="AS16" s="1369" t="s">
        <v>1624</v>
      </c>
      <c r="AT16" s="1370">
        <f>AT15/AT4</f>
        <v>2.0406938122770325E-2</v>
      </c>
      <c r="AU16" s="1368" t="s">
        <v>1625</v>
      </c>
      <c r="AV16" s="1369" t="s">
        <v>1626</v>
      </c>
      <c r="AW16" s="1370">
        <f>AW15/AT4</f>
        <v>2.3808094476565379E-2</v>
      </c>
      <c r="AX16" s="1371" t="s">
        <v>1627</v>
      </c>
      <c r="AY16" s="1372">
        <f>100%-AY13</f>
        <v>0.16102986933282082</v>
      </c>
      <c r="AZ16" s="1274"/>
      <c r="BE16" s="1362"/>
    </row>
    <row r="17" spans="2:71" x14ac:dyDescent="0.3">
      <c r="C17" s="1483">
        <v>1000000</v>
      </c>
      <c r="D17" s="1483">
        <f>C19</f>
        <v>900000</v>
      </c>
      <c r="E17" s="1483">
        <f t="shared" ref="E17:G17" si="18">D19</f>
        <v>810000</v>
      </c>
      <c r="F17" s="1483">
        <f t="shared" si="18"/>
        <v>729000</v>
      </c>
      <c r="G17" s="1483">
        <f t="shared" si="18"/>
        <v>656100</v>
      </c>
      <c r="K17" s="1289"/>
      <c r="L17" s="1283" t="s">
        <v>1618</v>
      </c>
      <c r="M17" s="1292" t="s">
        <v>1628</v>
      </c>
      <c r="N17" s="1306"/>
      <c r="O17" s="1346">
        <f>SUM(O10:O16)</f>
        <v>1150000</v>
      </c>
      <c r="P17" s="1346">
        <f>SUM(P10:P16)</f>
        <v>1075000</v>
      </c>
      <c r="Q17" s="1346">
        <f t="shared" ref="Q17:AG17" si="19">SUM(Q10:Q16)</f>
        <v>1021700</v>
      </c>
      <c r="R17" s="1346">
        <f t="shared" si="19"/>
        <v>971700</v>
      </c>
      <c r="S17" s="1346">
        <f t="shared" si="19"/>
        <v>1102900</v>
      </c>
      <c r="T17" s="1346">
        <f t="shared" si="19"/>
        <v>1102900</v>
      </c>
      <c r="U17" s="1346">
        <f t="shared" si="19"/>
        <v>1102900</v>
      </c>
      <c r="V17" s="1346">
        <f t="shared" si="19"/>
        <v>1152900</v>
      </c>
      <c r="W17" s="1346">
        <f t="shared" si="19"/>
        <v>954450</v>
      </c>
      <c r="X17" s="1346">
        <f t="shared" si="19"/>
        <v>1154450</v>
      </c>
      <c r="Y17" s="1346">
        <f t="shared" si="19"/>
        <v>1154450</v>
      </c>
      <c r="Z17" s="1346">
        <f t="shared" si="19"/>
        <v>1154450</v>
      </c>
      <c r="AA17" s="1346">
        <f t="shared" si="19"/>
        <v>1056000</v>
      </c>
      <c r="AB17" s="1346">
        <f t="shared" si="19"/>
        <v>1131000</v>
      </c>
      <c r="AC17" s="1346">
        <f t="shared" si="19"/>
        <v>1131000</v>
      </c>
      <c r="AD17" s="1346">
        <f t="shared" si="19"/>
        <v>1231000</v>
      </c>
      <c r="AE17" s="1346">
        <f t="shared" si="19"/>
        <v>1490300</v>
      </c>
      <c r="AF17" s="1346">
        <f t="shared" si="19"/>
        <v>1849600</v>
      </c>
      <c r="AG17" s="1346">
        <f t="shared" si="19"/>
        <v>2102700</v>
      </c>
      <c r="AH17" s="1293"/>
      <c r="AK17" s="1373">
        <f>AN10*100</f>
        <v>12935612996.812132</v>
      </c>
      <c r="AR17" s="1297"/>
      <c r="AS17" s="1374"/>
      <c r="AT17" s="1374"/>
      <c r="AU17" s="1375"/>
      <c r="AV17" s="1374"/>
      <c r="AW17" s="1374"/>
      <c r="AX17" s="1376"/>
      <c r="AY17" s="1377"/>
      <c r="AZ17" s="1274"/>
      <c r="BE17" s="1362"/>
    </row>
    <row r="18" spans="2:71" x14ac:dyDescent="0.3">
      <c r="C18" s="1484">
        <v>0.9</v>
      </c>
      <c r="D18" s="1484">
        <f>C18</f>
        <v>0.9</v>
      </c>
      <c r="E18" s="1484">
        <f t="shared" ref="E18:G18" si="20">D18</f>
        <v>0.9</v>
      </c>
      <c r="F18" s="1484">
        <f t="shared" si="20"/>
        <v>0.9</v>
      </c>
      <c r="G18" s="1484">
        <f t="shared" si="20"/>
        <v>0.9</v>
      </c>
      <c r="K18" s="1289"/>
      <c r="L18" s="1283" t="s">
        <v>1623</v>
      </c>
      <c r="M18" s="1292" t="s">
        <v>1629</v>
      </c>
      <c r="N18" s="1378"/>
      <c r="O18" s="1379">
        <v>2500000</v>
      </c>
      <c r="P18" s="1357">
        <f t="shared" ref="P18:AG18" si="21">O18*P19</f>
        <v>2625000</v>
      </c>
      <c r="Q18" s="1357">
        <f t="shared" si="21"/>
        <v>2887500.0000000005</v>
      </c>
      <c r="R18" s="1357">
        <f t="shared" si="21"/>
        <v>3320625.0000000005</v>
      </c>
      <c r="S18" s="1379">
        <f t="shared" si="21"/>
        <v>3320625.0000000005</v>
      </c>
      <c r="T18" s="1340">
        <f t="shared" si="21"/>
        <v>2656500.0000000005</v>
      </c>
      <c r="U18" s="1379">
        <f t="shared" si="21"/>
        <v>2656500.0000000005</v>
      </c>
      <c r="V18" s="1357">
        <f t="shared" si="21"/>
        <v>3320625.0000000005</v>
      </c>
      <c r="W18" s="1379">
        <f t="shared" si="21"/>
        <v>3320625.0000000005</v>
      </c>
      <c r="X18" s="1357">
        <f t="shared" si="21"/>
        <v>4150781.2500000005</v>
      </c>
      <c r="Y18" s="1379">
        <f t="shared" si="21"/>
        <v>4150781.2500000005</v>
      </c>
      <c r="Z18" s="1357">
        <f t="shared" si="21"/>
        <v>5188476.5625000009</v>
      </c>
      <c r="AA18" s="1357">
        <f t="shared" si="21"/>
        <v>6485595.7031250009</v>
      </c>
      <c r="AB18" s="1379">
        <f t="shared" si="21"/>
        <v>6485595.7031250009</v>
      </c>
      <c r="AC18" s="1341">
        <f t="shared" si="21"/>
        <v>4539916.9921875</v>
      </c>
      <c r="AD18" s="1366">
        <f t="shared" si="21"/>
        <v>6809875.48828125</v>
      </c>
      <c r="AE18" s="1366">
        <f t="shared" si="21"/>
        <v>8512344.3603515625</v>
      </c>
      <c r="AF18" s="1366">
        <f t="shared" si="21"/>
        <v>10640430.450439453</v>
      </c>
      <c r="AG18" s="1366">
        <f t="shared" si="21"/>
        <v>15960645.67565918</v>
      </c>
      <c r="AH18" s="1293"/>
      <c r="AK18" s="1367"/>
      <c r="AZ18" s="1274"/>
      <c r="BE18" s="1364"/>
    </row>
    <row r="19" spans="2:71" s="1393" customFormat="1" x14ac:dyDescent="0.3">
      <c r="B19" s="1479"/>
      <c r="C19" s="1485">
        <f>C17*C18</f>
        <v>900000</v>
      </c>
      <c r="D19" s="1485">
        <f>D17*D18</f>
        <v>810000</v>
      </c>
      <c r="E19" s="1485">
        <f t="shared" ref="E19" si="22">E17*E18</f>
        <v>729000</v>
      </c>
      <c r="F19" s="1485">
        <f t="shared" ref="F19" si="23">F17*F18</f>
        <v>656100</v>
      </c>
      <c r="G19" s="1485">
        <f t="shared" ref="G19" si="24">G17*G18</f>
        <v>590490</v>
      </c>
      <c r="H19" s="1485">
        <f>SUM(C19:G19)</f>
        <v>3685590</v>
      </c>
      <c r="I19" s="1479"/>
      <c r="J19" s="1479"/>
      <c r="K19" s="1380"/>
      <c r="L19" s="1381" t="s">
        <v>1512</v>
      </c>
      <c r="M19" s="1359" t="s">
        <v>1630</v>
      </c>
      <c r="N19" s="1382"/>
      <c r="O19" s="1382"/>
      <c r="P19" s="1383">
        <v>1.05</v>
      </c>
      <c r="Q19" s="1383">
        <v>1.1000000000000001</v>
      </c>
      <c r="R19" s="1383">
        <v>1.1499999999999999</v>
      </c>
      <c r="S19" s="1382">
        <v>1</v>
      </c>
      <c r="T19" s="1384">
        <v>0.8</v>
      </c>
      <c r="U19" s="1382">
        <v>1</v>
      </c>
      <c r="V19" s="1383">
        <v>1.25</v>
      </c>
      <c r="W19" s="1385">
        <v>1</v>
      </c>
      <c r="X19" s="1383">
        <v>1.25</v>
      </c>
      <c r="Y19" s="1382">
        <v>1</v>
      </c>
      <c r="Z19" s="1383">
        <v>1.25</v>
      </c>
      <c r="AA19" s="1383">
        <v>1.25</v>
      </c>
      <c r="AB19" s="1382">
        <v>1</v>
      </c>
      <c r="AC19" s="1386">
        <v>0.7</v>
      </c>
      <c r="AD19" s="1387">
        <v>1.5</v>
      </c>
      <c r="AE19" s="1387">
        <v>1.25</v>
      </c>
      <c r="AF19" s="1387">
        <v>1.25</v>
      </c>
      <c r="AG19" s="1387">
        <v>1.5</v>
      </c>
      <c r="AH19" s="1388"/>
      <c r="AI19" s="1389"/>
      <c r="AJ19" s="1389"/>
      <c r="AK19" s="1390">
        <v>512</v>
      </c>
      <c r="AL19" s="1389"/>
      <c r="AM19" s="1389"/>
      <c r="AN19" s="1389"/>
      <c r="AO19" s="1389"/>
      <c r="AP19" s="1389"/>
      <c r="AQ19" s="1389"/>
      <c r="AR19" s="1391"/>
      <c r="AS19" s="1389"/>
      <c r="AT19" s="1389"/>
      <c r="AU19" s="1389"/>
      <c r="AV19" s="1389"/>
      <c r="AW19" s="1389"/>
      <c r="AX19" s="1391"/>
      <c r="AY19" s="1391"/>
      <c r="AZ19" s="1392"/>
      <c r="BA19" s="1389"/>
      <c r="BB19" s="1389"/>
      <c r="BC19" s="1389"/>
      <c r="BD19" s="1389"/>
      <c r="BE19" s="1389"/>
      <c r="BF19" s="1389"/>
      <c r="BG19" s="1389"/>
      <c r="BH19" s="1389"/>
      <c r="BI19" s="1389"/>
      <c r="BJ19" s="1389"/>
      <c r="BK19" s="1389"/>
      <c r="BM19" s="1394"/>
      <c r="BN19" s="1389"/>
      <c r="BO19" s="1389"/>
      <c r="BP19" s="1389"/>
      <c r="BQ19" s="1389"/>
      <c r="BR19" s="1389"/>
      <c r="BS19" s="1389"/>
    </row>
    <row r="20" spans="2:71" x14ac:dyDescent="0.3">
      <c r="C20" s="1479"/>
      <c r="D20" s="1479"/>
      <c r="E20" s="1479"/>
      <c r="F20" s="1479"/>
      <c r="G20" s="1479"/>
      <c r="H20" s="1479"/>
      <c r="K20" s="1289"/>
      <c r="L20" s="1283" t="s">
        <v>1537</v>
      </c>
      <c r="M20" s="1292" t="s">
        <v>1631</v>
      </c>
      <c r="N20" s="1378"/>
      <c r="O20" s="1379"/>
      <c r="P20" s="1379"/>
      <c r="Q20" s="1379"/>
      <c r="R20" s="1379"/>
      <c r="S20" s="1366">
        <v>2500000</v>
      </c>
      <c r="T20" s="1379">
        <v>2500000</v>
      </c>
      <c r="U20" s="1379">
        <v>2500000</v>
      </c>
      <c r="V20" s="1379">
        <v>2500000</v>
      </c>
      <c r="W20" s="1379">
        <v>2500000</v>
      </c>
      <c r="X20" s="1379">
        <v>2500000</v>
      </c>
      <c r="Y20" s="1357">
        <f>X20+Y21</f>
        <v>2750000</v>
      </c>
      <c r="Z20" s="1379">
        <f>Y20</f>
        <v>2750000</v>
      </c>
      <c r="AA20" s="1379">
        <f>Z20</f>
        <v>2750000</v>
      </c>
      <c r="AB20" s="1357">
        <f>AA20+AB21</f>
        <v>5250000</v>
      </c>
      <c r="AC20" s="1395">
        <f>AB20</f>
        <v>5250000</v>
      </c>
      <c r="AD20" s="1395">
        <f>AC20</f>
        <v>5250000</v>
      </c>
      <c r="AE20" s="1366">
        <f>AD20+AE21</f>
        <v>8250000</v>
      </c>
      <c r="AF20" s="1366">
        <f>AE20+AF21</f>
        <v>11000000</v>
      </c>
      <c r="AG20" s="1366">
        <f>AF20+AG21</f>
        <v>13000000</v>
      </c>
      <c r="AH20" s="1293"/>
      <c r="AK20" s="1367"/>
      <c r="AL20" s="1396"/>
      <c r="AT20" s="1397">
        <f>AT4-AT5</f>
        <v>5497351.4255859377</v>
      </c>
      <c r="AZ20" s="1274"/>
      <c r="BL20" s="1393"/>
    </row>
    <row r="21" spans="2:71" s="1393" customFormat="1" hidden="1" x14ac:dyDescent="0.3">
      <c r="B21" s="1479"/>
      <c r="C21" s="1269"/>
      <c r="D21" s="1478"/>
      <c r="E21" s="1478"/>
      <c r="F21" s="1478"/>
      <c r="G21" s="1478"/>
      <c r="H21" s="1478"/>
      <c r="I21" s="1479"/>
      <c r="J21" s="1479"/>
      <c r="K21" s="1380"/>
      <c r="L21" s="1381"/>
      <c r="M21" s="1359"/>
      <c r="N21" s="1382"/>
      <c r="O21" s="1382"/>
      <c r="P21" s="1382"/>
      <c r="Q21" s="1382"/>
      <c r="R21" s="1382"/>
      <c r="S21" s="1382"/>
      <c r="T21" s="1385"/>
      <c r="U21" s="1382"/>
      <c r="V21" s="1382"/>
      <c r="W21" s="1382"/>
      <c r="X21" s="1382"/>
      <c r="Y21" s="1398">
        <v>250000</v>
      </c>
      <c r="Z21" s="1399"/>
      <c r="AA21" s="1399"/>
      <c r="AB21" s="1398">
        <v>2500000</v>
      </c>
      <c r="AC21" s="1400"/>
      <c r="AD21" s="1400"/>
      <c r="AE21" s="1401">
        <v>3000000</v>
      </c>
      <c r="AF21" s="1401">
        <v>2750000</v>
      </c>
      <c r="AG21" s="1401">
        <v>2000000</v>
      </c>
      <c r="AH21" s="1402"/>
      <c r="AK21" s="1390"/>
      <c r="AR21" s="1403"/>
      <c r="AX21" s="1403"/>
      <c r="AY21" s="1403"/>
    </row>
    <row r="22" spans="2:71" x14ac:dyDescent="0.3">
      <c r="C22" s="1482">
        <v>6</v>
      </c>
      <c r="D22" s="1482">
        <v>7</v>
      </c>
      <c r="E22" s="1482">
        <v>8</v>
      </c>
      <c r="F22" s="1482">
        <v>9</v>
      </c>
      <c r="G22" s="1482">
        <v>10</v>
      </c>
      <c r="K22" s="1289"/>
      <c r="L22" s="1283" t="s">
        <v>1558</v>
      </c>
      <c r="M22" s="1292" t="s">
        <v>1219</v>
      </c>
      <c r="N22" s="1404"/>
      <c r="O22" s="1405">
        <f>O18+O20</f>
        <v>2500000</v>
      </c>
      <c r="P22" s="1405">
        <f>P18+P20</f>
        <v>2625000</v>
      </c>
      <c r="Q22" s="1405">
        <f>Q18+Q20</f>
        <v>2887500.0000000005</v>
      </c>
      <c r="R22" s="1405">
        <f>R18+R20</f>
        <v>3320625.0000000005</v>
      </c>
      <c r="S22" s="1405">
        <f>S18+S20</f>
        <v>5820625</v>
      </c>
      <c r="T22" s="1405">
        <f t="shared" ref="T22:AG22" si="25">T18+T20</f>
        <v>5156500</v>
      </c>
      <c r="U22" s="1405">
        <f t="shared" si="25"/>
        <v>5156500</v>
      </c>
      <c r="V22" s="1405">
        <f t="shared" si="25"/>
        <v>5820625</v>
      </c>
      <c r="W22" s="1405">
        <f t="shared" si="25"/>
        <v>5820625</v>
      </c>
      <c r="X22" s="1405">
        <f t="shared" si="25"/>
        <v>6650781.25</v>
      </c>
      <c r="Y22" s="1405">
        <f t="shared" si="25"/>
        <v>6900781.25</v>
      </c>
      <c r="Z22" s="1405">
        <f t="shared" si="25"/>
        <v>7938476.5625000009</v>
      </c>
      <c r="AA22" s="1405">
        <f t="shared" si="25"/>
        <v>9235595.703125</v>
      </c>
      <c r="AB22" s="1405">
        <f t="shared" si="25"/>
        <v>11735595.703125</v>
      </c>
      <c r="AC22" s="1405">
        <f t="shared" si="25"/>
        <v>9789916.9921875</v>
      </c>
      <c r="AD22" s="1405">
        <f t="shared" si="25"/>
        <v>12059875.48828125</v>
      </c>
      <c r="AE22" s="1405">
        <f t="shared" si="25"/>
        <v>16762344.360351563</v>
      </c>
      <c r="AF22" s="1405">
        <f t="shared" si="25"/>
        <v>21640430.450439453</v>
      </c>
      <c r="AG22" s="1405">
        <f t="shared" si="25"/>
        <v>28960645.67565918</v>
      </c>
      <c r="AH22" s="1293"/>
      <c r="AK22" s="1367">
        <f>AK17*AK19</f>
        <v>6623033854367.8115</v>
      </c>
      <c r="AL22" s="1396">
        <v>0.625</v>
      </c>
      <c r="AY22" s="1273">
        <v>1000</v>
      </c>
      <c r="BL22" s="1393"/>
    </row>
    <row r="23" spans="2:71" x14ac:dyDescent="0.3">
      <c r="C23" s="1483">
        <f>G19</f>
        <v>590490</v>
      </c>
      <c r="D23" s="1483">
        <f>C25</f>
        <v>531441</v>
      </c>
      <c r="E23" s="1483">
        <f t="shared" ref="E23:G23" si="26">D25</f>
        <v>478296.9</v>
      </c>
      <c r="F23" s="1483">
        <f t="shared" si="26"/>
        <v>430467.21</v>
      </c>
      <c r="G23" s="1483">
        <f t="shared" si="26"/>
        <v>387420.489</v>
      </c>
      <c r="H23" s="1479"/>
      <c r="K23" s="1289"/>
      <c r="L23" s="1283" t="s">
        <v>1574</v>
      </c>
      <c r="M23" s="1292" t="s">
        <v>1632</v>
      </c>
      <c r="N23" s="1406">
        <v>0.1</v>
      </c>
      <c r="O23" s="1346">
        <f t="shared" ref="O23:AG23" si="27">O22*10%</f>
        <v>250000</v>
      </c>
      <c r="P23" s="1346">
        <f t="shared" si="27"/>
        <v>262500</v>
      </c>
      <c r="Q23" s="1346">
        <f t="shared" si="27"/>
        <v>288750.00000000006</v>
      </c>
      <c r="R23" s="1346">
        <f t="shared" si="27"/>
        <v>332062.50000000006</v>
      </c>
      <c r="S23" s="1346">
        <f t="shared" si="27"/>
        <v>582062.5</v>
      </c>
      <c r="T23" s="1346">
        <f t="shared" si="27"/>
        <v>515650</v>
      </c>
      <c r="U23" s="1346">
        <f t="shared" si="27"/>
        <v>515650</v>
      </c>
      <c r="V23" s="1346">
        <f t="shared" si="27"/>
        <v>582062.5</v>
      </c>
      <c r="W23" s="1346">
        <f t="shared" si="27"/>
        <v>582062.5</v>
      </c>
      <c r="X23" s="1346">
        <f t="shared" si="27"/>
        <v>665078.125</v>
      </c>
      <c r="Y23" s="1346">
        <f t="shared" si="27"/>
        <v>690078.125</v>
      </c>
      <c r="Z23" s="1346">
        <f t="shared" si="27"/>
        <v>793847.65625000012</v>
      </c>
      <c r="AA23" s="1346">
        <f t="shared" si="27"/>
        <v>923559.5703125</v>
      </c>
      <c r="AB23" s="1346">
        <f t="shared" si="27"/>
        <v>1173559.5703125</v>
      </c>
      <c r="AC23" s="1346">
        <f t="shared" si="27"/>
        <v>978991.69921875</v>
      </c>
      <c r="AD23" s="1346">
        <f t="shared" si="27"/>
        <v>1205987.548828125</v>
      </c>
      <c r="AE23" s="1346">
        <f t="shared" si="27"/>
        <v>1676234.4360351563</v>
      </c>
      <c r="AF23" s="1346">
        <f t="shared" si="27"/>
        <v>2164043.0450439453</v>
      </c>
      <c r="AG23" s="1346">
        <f t="shared" si="27"/>
        <v>2896064.567565918</v>
      </c>
      <c r="AH23" s="1293"/>
      <c r="AK23" s="1367"/>
      <c r="AY23" s="1407">
        <f>AY7</f>
        <v>0.58897013066717918</v>
      </c>
      <c r="BI23" s="1393"/>
      <c r="BL23" s="1393"/>
    </row>
    <row r="24" spans="2:71" x14ac:dyDescent="0.3">
      <c r="C24" s="1484">
        <f>G18</f>
        <v>0.9</v>
      </c>
      <c r="D24" s="1484">
        <f>C24</f>
        <v>0.9</v>
      </c>
      <c r="E24" s="1484">
        <f t="shared" ref="E24:G24" si="28">D24</f>
        <v>0.9</v>
      </c>
      <c r="F24" s="1484">
        <f t="shared" si="28"/>
        <v>0.9</v>
      </c>
      <c r="G24" s="1484">
        <f t="shared" si="28"/>
        <v>0.9</v>
      </c>
      <c r="K24" s="1289"/>
      <c r="L24" s="1283" t="s">
        <v>1582</v>
      </c>
      <c r="M24" s="1292" t="s">
        <v>1633</v>
      </c>
      <c r="N24" s="1406"/>
      <c r="O24" s="1346">
        <f t="shared" ref="O24:AG24" si="29">O22*O25</f>
        <v>1250000</v>
      </c>
      <c r="P24" s="1346">
        <f t="shared" si="29"/>
        <v>1312500</v>
      </c>
      <c r="Q24" s="1346">
        <f t="shared" si="29"/>
        <v>1155000.0000000002</v>
      </c>
      <c r="R24" s="1346">
        <f t="shared" si="29"/>
        <v>1328250.0000000002</v>
      </c>
      <c r="S24" s="1346">
        <f t="shared" si="29"/>
        <v>2328250</v>
      </c>
      <c r="T24" s="1346">
        <f t="shared" si="29"/>
        <v>2578250</v>
      </c>
      <c r="U24" s="1346">
        <f t="shared" si="29"/>
        <v>2320425</v>
      </c>
      <c r="V24" s="1346">
        <f t="shared" si="29"/>
        <v>2619281.25</v>
      </c>
      <c r="W24" s="1346">
        <f t="shared" si="29"/>
        <v>2619281.25</v>
      </c>
      <c r="X24" s="1346">
        <f t="shared" si="29"/>
        <v>2826582.03125</v>
      </c>
      <c r="Y24" s="1346">
        <f t="shared" si="29"/>
        <v>2932832.03125</v>
      </c>
      <c r="Z24" s="1346">
        <f t="shared" si="29"/>
        <v>3175390.6250000005</v>
      </c>
      <c r="AA24" s="1346">
        <f t="shared" si="29"/>
        <v>2770678.7109375</v>
      </c>
      <c r="AB24" s="1346">
        <f t="shared" si="29"/>
        <v>3520678.7109375</v>
      </c>
      <c r="AC24" s="1346">
        <f t="shared" si="29"/>
        <v>4405462.646484375</v>
      </c>
      <c r="AD24" s="1346">
        <f t="shared" si="29"/>
        <v>4823950.1953125</v>
      </c>
      <c r="AE24" s="1346">
        <f t="shared" si="29"/>
        <v>6704937.744140625</v>
      </c>
      <c r="AF24" s="1346">
        <f t="shared" si="29"/>
        <v>8656172.1801757813</v>
      </c>
      <c r="AG24" s="1346">
        <f t="shared" si="29"/>
        <v>11584258.270263672</v>
      </c>
      <c r="AH24" s="1293"/>
      <c r="AK24" s="1367"/>
      <c r="AL24" s="1408"/>
      <c r="AT24" s="1362">
        <f>AT5+AT10</f>
        <v>4155836.0744140637</v>
      </c>
      <c r="BK24" s="1362"/>
      <c r="BL24" s="1393"/>
    </row>
    <row r="25" spans="2:71" s="1393" customFormat="1" x14ac:dyDescent="0.3">
      <c r="B25" s="1479"/>
      <c r="C25" s="1485">
        <f>C23*C24</f>
        <v>531441</v>
      </c>
      <c r="D25" s="1485">
        <f t="shared" ref="D25" si="30">D23*D24</f>
        <v>478296.9</v>
      </c>
      <c r="E25" s="1485">
        <f t="shared" ref="E25" si="31">E23*E24</f>
        <v>430467.21</v>
      </c>
      <c r="F25" s="1485">
        <f t="shared" ref="F25" si="32">F23*F24</f>
        <v>387420.489</v>
      </c>
      <c r="G25" s="1485">
        <f t="shared" ref="G25" si="33">G23*G24</f>
        <v>348678.44010000001</v>
      </c>
      <c r="H25" s="1486">
        <f>SUM(C25:G25)</f>
        <v>2176304.0391000002</v>
      </c>
      <c r="I25" s="1479"/>
      <c r="J25" s="1479"/>
      <c r="K25" s="1380"/>
      <c r="L25" s="1381" t="s">
        <v>1590</v>
      </c>
      <c r="M25" s="1359" t="s">
        <v>1634</v>
      </c>
      <c r="N25" s="1409"/>
      <c r="O25" s="1410">
        <v>0.5</v>
      </c>
      <c r="P25" s="1410">
        <f>O25</f>
        <v>0.5</v>
      </c>
      <c r="Q25" s="1411">
        <v>0.4</v>
      </c>
      <c r="R25" s="1410">
        <v>0.4</v>
      </c>
      <c r="S25" s="1410">
        <v>0.4</v>
      </c>
      <c r="T25" s="1412">
        <v>0.5</v>
      </c>
      <c r="U25" s="1411">
        <v>0.45</v>
      </c>
      <c r="V25" s="1410">
        <f>U25</f>
        <v>0.45</v>
      </c>
      <c r="W25" s="1410">
        <f>V25</f>
        <v>0.45</v>
      </c>
      <c r="X25" s="1411">
        <v>0.42499999999999999</v>
      </c>
      <c r="Y25" s="1410">
        <v>0.42499999999999999</v>
      </c>
      <c r="Z25" s="1411">
        <v>0.4</v>
      </c>
      <c r="AA25" s="1411">
        <v>0.3</v>
      </c>
      <c r="AB25" s="1410">
        <v>0.3</v>
      </c>
      <c r="AC25" s="1412">
        <v>0.45</v>
      </c>
      <c r="AD25" s="1413">
        <v>0.4</v>
      </c>
      <c r="AE25" s="1410">
        <f>AD25</f>
        <v>0.4</v>
      </c>
      <c r="AF25" s="1410">
        <f>AE25</f>
        <v>0.4</v>
      </c>
      <c r="AG25" s="1410">
        <f>AF25</f>
        <v>0.4</v>
      </c>
      <c r="AH25" s="1388"/>
      <c r="AI25" s="1389"/>
      <c r="AJ25" s="1389"/>
      <c r="AK25" s="1390"/>
      <c r="AL25" s="1389"/>
      <c r="AM25" s="1389"/>
      <c r="AN25" s="1389">
        <v>96</v>
      </c>
      <c r="AO25" s="1389"/>
      <c r="AP25" s="1389"/>
      <c r="AQ25" s="1389"/>
      <c r="AR25" s="1391"/>
      <c r="AS25" s="1389"/>
      <c r="AT25" s="1414">
        <f>AT24/AT4</f>
        <v>0.52350549147496628</v>
      </c>
      <c r="AU25" s="1389"/>
      <c r="AV25" s="1389"/>
      <c r="AW25" s="1389"/>
      <c r="AX25" s="1391"/>
      <c r="AY25" s="1391"/>
      <c r="AZ25" s="1389"/>
      <c r="BA25" s="1389"/>
      <c r="BB25" s="1389"/>
      <c r="BC25" s="1389"/>
      <c r="BD25" s="1389"/>
      <c r="BE25" s="1389"/>
      <c r="BF25" s="1389"/>
      <c r="BG25" s="1389"/>
      <c r="BH25" s="1389"/>
      <c r="BI25" s="1389"/>
    </row>
    <row r="26" spans="2:71" x14ac:dyDescent="0.3">
      <c r="K26" s="1289"/>
      <c r="L26" s="1283" t="s">
        <v>1596</v>
      </c>
      <c r="M26" s="1292" t="s">
        <v>1635</v>
      </c>
      <c r="N26" s="1306"/>
      <c r="O26" s="1346">
        <f t="shared" ref="O26:AG26" si="34">O17+O23+O24</f>
        <v>2650000</v>
      </c>
      <c r="P26" s="1346">
        <f t="shared" si="34"/>
        <v>2650000</v>
      </c>
      <c r="Q26" s="1346">
        <f t="shared" si="34"/>
        <v>2465450</v>
      </c>
      <c r="R26" s="1346">
        <f t="shared" si="34"/>
        <v>2632012.5</v>
      </c>
      <c r="S26" s="1346">
        <f t="shared" si="34"/>
        <v>4013212.5</v>
      </c>
      <c r="T26" s="1346">
        <f t="shared" si="34"/>
        <v>4196800</v>
      </c>
      <c r="U26" s="1346">
        <f t="shared" si="34"/>
        <v>3938975</v>
      </c>
      <c r="V26" s="1346">
        <f t="shared" si="34"/>
        <v>4354243.75</v>
      </c>
      <c r="W26" s="1346">
        <f t="shared" si="34"/>
        <v>4155793.75</v>
      </c>
      <c r="X26" s="1346">
        <f t="shared" si="34"/>
        <v>4646110.15625</v>
      </c>
      <c r="Y26" s="1346">
        <f t="shared" si="34"/>
        <v>4777360.15625</v>
      </c>
      <c r="Z26" s="1346">
        <f t="shared" si="34"/>
        <v>5123688.28125</v>
      </c>
      <c r="AA26" s="1346">
        <f t="shared" si="34"/>
        <v>4750238.28125</v>
      </c>
      <c r="AB26" s="1346">
        <f t="shared" si="34"/>
        <v>5825238.28125</v>
      </c>
      <c r="AC26" s="1346">
        <f t="shared" si="34"/>
        <v>6515454.345703125</v>
      </c>
      <c r="AD26" s="1346">
        <f t="shared" si="34"/>
        <v>7260937.744140625</v>
      </c>
      <c r="AE26" s="1346">
        <f t="shared" si="34"/>
        <v>9871472.1801757813</v>
      </c>
      <c r="AF26" s="1346">
        <f t="shared" si="34"/>
        <v>12669815.225219727</v>
      </c>
      <c r="AG26" s="1346">
        <f t="shared" si="34"/>
        <v>16583022.83782959</v>
      </c>
      <c r="AH26" s="1415"/>
      <c r="AI26" s="1394"/>
      <c r="AJ26" s="1394"/>
      <c r="AK26" s="1367" t="s">
        <v>1636</v>
      </c>
      <c r="AL26" s="1416"/>
      <c r="AM26" s="1394"/>
      <c r="AN26" s="1394">
        <v>100</v>
      </c>
      <c r="AO26" s="1394"/>
      <c r="AP26" s="1394"/>
      <c r="AQ26" s="1394"/>
      <c r="AR26" s="1417"/>
      <c r="AS26" s="1394"/>
      <c r="AT26" s="1394"/>
      <c r="AU26" s="1394"/>
      <c r="AV26" s="1394"/>
      <c r="AW26" s="1394"/>
      <c r="AX26" s="1417"/>
      <c r="AY26" s="1417"/>
      <c r="AZ26" s="1394"/>
      <c r="BA26" s="1394"/>
      <c r="BB26" s="1394"/>
      <c r="BC26" s="1394"/>
      <c r="BD26" s="1394"/>
      <c r="BE26" s="1394"/>
      <c r="BF26" s="1394"/>
      <c r="BG26" s="1394"/>
      <c r="BH26" s="1394"/>
      <c r="BI26" s="1394"/>
    </row>
    <row r="27" spans="2:71" ht="14.4" thickBot="1" x14ac:dyDescent="0.35">
      <c r="C27" s="1479"/>
      <c r="D27" s="1479"/>
      <c r="E27" s="1479"/>
      <c r="F27" s="1479"/>
      <c r="G27" s="1479"/>
      <c r="H27" s="1487">
        <f>SUM(H19:H26)</f>
        <v>5861894.0391000006</v>
      </c>
      <c r="K27" s="1289"/>
      <c r="L27" s="1283" t="s">
        <v>899</v>
      </c>
      <c r="M27" s="1292" t="s">
        <v>1637</v>
      </c>
      <c r="N27" s="1334"/>
      <c r="O27" s="1339">
        <f>O18-O26</f>
        <v>-150000</v>
      </c>
      <c r="P27" s="1339">
        <f t="shared" ref="P27:AG27" si="35">P22-P26</f>
        <v>-25000</v>
      </c>
      <c r="Q27" s="1339">
        <f t="shared" si="35"/>
        <v>422050.00000000047</v>
      </c>
      <c r="R27" s="1339">
        <f t="shared" si="35"/>
        <v>688612.50000000047</v>
      </c>
      <c r="S27" s="1339">
        <f t="shared" si="35"/>
        <v>1807412.5</v>
      </c>
      <c r="T27" s="1339">
        <f t="shared" si="35"/>
        <v>959700</v>
      </c>
      <c r="U27" s="1339">
        <f t="shared" si="35"/>
        <v>1217525</v>
      </c>
      <c r="V27" s="1339">
        <f t="shared" si="35"/>
        <v>1466381.25</v>
      </c>
      <c r="W27" s="1339">
        <f t="shared" si="35"/>
        <v>1664831.25</v>
      </c>
      <c r="X27" s="1339">
        <f t="shared" si="35"/>
        <v>2004671.09375</v>
      </c>
      <c r="Y27" s="1339">
        <f t="shared" si="35"/>
        <v>2123421.09375</v>
      </c>
      <c r="Z27" s="1339">
        <f t="shared" si="35"/>
        <v>2814788.2812500009</v>
      </c>
      <c r="AA27" s="1339">
        <f t="shared" si="35"/>
        <v>4485357.421875</v>
      </c>
      <c r="AB27" s="1339">
        <f t="shared" si="35"/>
        <v>5910357.421875</v>
      </c>
      <c r="AC27" s="1339">
        <f t="shared" si="35"/>
        <v>3274462.646484375</v>
      </c>
      <c r="AD27" s="1339">
        <f t="shared" si="35"/>
        <v>4798937.744140625</v>
      </c>
      <c r="AE27" s="1339">
        <f t="shared" si="35"/>
        <v>6890872.1801757813</v>
      </c>
      <c r="AF27" s="1339">
        <f t="shared" si="35"/>
        <v>8970615.2252197266</v>
      </c>
      <c r="AG27" s="1339">
        <f t="shared" si="35"/>
        <v>12377622.83782959</v>
      </c>
      <c r="AH27" s="1415"/>
      <c r="AI27" s="1394"/>
      <c r="AJ27" s="1394"/>
      <c r="AK27" s="1367"/>
      <c r="AL27" s="1394"/>
      <c r="AM27" s="1394"/>
      <c r="AN27" s="1394"/>
      <c r="AO27" s="1394"/>
      <c r="AP27" s="1394"/>
      <c r="AQ27" s="1394"/>
      <c r="AR27" s="1417"/>
      <c r="AS27" s="1394"/>
      <c r="AT27" s="1394"/>
      <c r="AU27" s="1394"/>
      <c r="AV27" s="1394">
        <v>2500</v>
      </c>
      <c r="AW27" s="1394"/>
      <c r="AX27" s="1417"/>
      <c r="AY27" s="1417"/>
      <c r="AZ27" s="1394"/>
      <c r="BA27" s="1394"/>
      <c r="BB27" s="1394"/>
      <c r="BC27" s="1394"/>
      <c r="BD27" s="1394"/>
      <c r="BE27" s="1394"/>
      <c r="BF27" s="1394"/>
      <c r="BG27" s="1394"/>
      <c r="BH27" s="1394"/>
      <c r="BI27" s="1394"/>
      <c r="BJ27" s="1394"/>
      <c r="BK27" s="1394"/>
      <c r="BL27" s="1393"/>
      <c r="BM27" s="1394"/>
    </row>
    <row r="28" spans="2:71" s="1396" customFormat="1" ht="14.4" thickTop="1" x14ac:dyDescent="0.3">
      <c r="B28" s="1480"/>
      <c r="C28" s="1480"/>
      <c r="D28" s="1480"/>
      <c r="E28" s="1480"/>
      <c r="F28" s="1480"/>
      <c r="G28" s="1480"/>
      <c r="H28" s="1480"/>
      <c r="I28" s="1480"/>
      <c r="J28" s="1480"/>
      <c r="K28" s="1418"/>
      <c r="L28" s="1419" t="s">
        <v>1611</v>
      </c>
      <c r="M28" s="1420" t="s">
        <v>1638</v>
      </c>
      <c r="N28" s="1421"/>
      <c r="O28" s="1353">
        <v>0.125</v>
      </c>
      <c r="P28" s="1353">
        <v>0.125</v>
      </c>
      <c r="Q28" s="1353">
        <v>0.125</v>
      </c>
      <c r="R28" s="1353">
        <v>0.125</v>
      </c>
      <c r="S28" s="1353">
        <v>0.125</v>
      </c>
      <c r="T28" s="1353">
        <v>0.125</v>
      </c>
      <c r="U28" s="1353">
        <v>0.125</v>
      </c>
      <c r="V28" s="1353">
        <v>0.125</v>
      </c>
      <c r="W28" s="1353">
        <v>0.125</v>
      </c>
      <c r="X28" s="1353">
        <v>0.125</v>
      </c>
      <c r="Y28" s="1353">
        <v>0.125</v>
      </c>
      <c r="Z28" s="1353">
        <v>0.125</v>
      </c>
      <c r="AA28" s="1353">
        <v>0.125</v>
      </c>
      <c r="AB28" s="1353">
        <v>0.125</v>
      </c>
      <c r="AC28" s="1353">
        <v>0.125</v>
      </c>
      <c r="AD28" s="1353">
        <v>0.125</v>
      </c>
      <c r="AE28" s="1353">
        <v>0.125</v>
      </c>
      <c r="AF28" s="1353">
        <v>0.125</v>
      </c>
      <c r="AG28" s="1353">
        <v>0.125</v>
      </c>
      <c r="AH28" s="1415"/>
      <c r="AI28" s="1394"/>
      <c r="AJ28" s="1394"/>
      <c r="AK28" s="1367">
        <v>200000000</v>
      </c>
      <c r="AL28" s="1422"/>
      <c r="AM28" s="1423"/>
      <c r="AN28" s="1393">
        <f>AN25/AN26</f>
        <v>0.96</v>
      </c>
      <c r="AO28" s="1394"/>
      <c r="AP28" s="1394"/>
      <c r="AQ28" s="1394"/>
      <c r="AR28" s="1417"/>
      <c r="AS28" s="1394"/>
      <c r="AT28" s="1394"/>
      <c r="AU28" s="1394"/>
      <c r="AV28" s="1394">
        <f>AV27*AY7</f>
        <v>1472.425326667948</v>
      </c>
      <c r="AW28" s="1394"/>
      <c r="AX28" s="1417"/>
      <c r="AY28" s="1417"/>
      <c r="AZ28" s="1394"/>
      <c r="BA28" s="1394"/>
      <c r="BB28" s="1424">
        <v>2013</v>
      </c>
      <c r="BC28" s="1425">
        <f>BE5</f>
        <v>1271719.1390625001</v>
      </c>
      <c r="BD28" s="1426">
        <v>0.25</v>
      </c>
      <c r="BE28" s="1425">
        <f>BC28*BD28</f>
        <v>317929.78476562502</v>
      </c>
      <c r="BF28" s="1427">
        <v>2027</v>
      </c>
      <c r="BG28" s="1296">
        <f>BL8-BC8</f>
        <v>2954727.3520359043</v>
      </c>
      <c r="BH28" s="1428">
        <v>0.1111</v>
      </c>
      <c r="BI28" s="1296">
        <f>BG28*BH28</f>
        <v>328270.20881118899</v>
      </c>
      <c r="BJ28" s="1429">
        <v>2024</v>
      </c>
      <c r="BK28" s="1430">
        <f>BC8-BL5</f>
        <v>3617887.2954658512</v>
      </c>
      <c r="BL28" s="1431">
        <v>0.33329999999999999</v>
      </c>
      <c r="BM28" s="1430">
        <f>BK28*BL28</f>
        <v>1205841.835578768</v>
      </c>
    </row>
    <row r="29" spans="2:71" x14ac:dyDescent="0.3">
      <c r="K29" s="1289"/>
      <c r="L29" s="1283" t="s">
        <v>1615</v>
      </c>
      <c r="M29" s="1292" t="s">
        <v>1639</v>
      </c>
      <c r="N29" s="1334"/>
      <c r="O29" s="1339">
        <v>0</v>
      </c>
      <c r="P29" s="1339">
        <f t="shared" ref="P29:AG29" si="36">P27*P28</f>
        <v>-3125</v>
      </c>
      <c r="Q29" s="1339">
        <f t="shared" si="36"/>
        <v>52756.250000000058</v>
      </c>
      <c r="R29" s="1339">
        <f t="shared" si="36"/>
        <v>86076.562500000058</v>
      </c>
      <c r="S29" s="1339">
        <f t="shared" si="36"/>
        <v>225926.5625</v>
      </c>
      <c r="T29" s="1339">
        <f t="shared" si="36"/>
        <v>119962.5</v>
      </c>
      <c r="U29" s="1339">
        <f t="shared" si="36"/>
        <v>152190.625</v>
      </c>
      <c r="V29" s="1339">
        <f t="shared" si="36"/>
        <v>183297.65625</v>
      </c>
      <c r="W29" s="1339">
        <f t="shared" si="36"/>
        <v>208103.90625</v>
      </c>
      <c r="X29" s="1339">
        <f t="shared" si="36"/>
        <v>250583.88671875</v>
      </c>
      <c r="Y29" s="1339">
        <f t="shared" si="36"/>
        <v>265427.63671875</v>
      </c>
      <c r="Z29" s="1339">
        <f t="shared" si="36"/>
        <v>351848.53515625012</v>
      </c>
      <c r="AA29" s="1339">
        <f t="shared" si="36"/>
        <v>560669.677734375</v>
      </c>
      <c r="AB29" s="1339">
        <f t="shared" si="36"/>
        <v>738794.677734375</v>
      </c>
      <c r="AC29" s="1339">
        <f t="shared" si="36"/>
        <v>409307.83081054688</v>
      </c>
      <c r="AD29" s="1339">
        <f t="shared" si="36"/>
        <v>599867.21801757813</v>
      </c>
      <c r="AE29" s="1339">
        <f t="shared" si="36"/>
        <v>861359.02252197266</v>
      </c>
      <c r="AF29" s="1339">
        <f t="shared" si="36"/>
        <v>1121326.9031524658</v>
      </c>
      <c r="AG29" s="1339">
        <f t="shared" si="36"/>
        <v>1547202.8547286987</v>
      </c>
      <c r="AH29" s="1415"/>
      <c r="AI29" s="1394"/>
      <c r="AJ29" s="1394"/>
      <c r="AK29" s="1367">
        <v>16</v>
      </c>
      <c r="AL29" s="1394" t="s">
        <v>1640</v>
      </c>
      <c r="AM29" s="1394"/>
      <c r="AN29" s="1394"/>
      <c r="AO29" s="1394"/>
      <c r="AP29" s="1394"/>
      <c r="AQ29" s="1394"/>
      <c r="AR29" s="1417"/>
      <c r="AS29" s="1394"/>
      <c r="AT29" s="1394"/>
      <c r="AU29" s="1394"/>
      <c r="AV29" s="1394"/>
      <c r="AW29" s="1394"/>
      <c r="AX29" s="1417"/>
      <c r="AY29" s="1417"/>
      <c r="AZ29" s="1394"/>
      <c r="BA29" s="1394"/>
      <c r="BB29" s="1424">
        <v>2017</v>
      </c>
      <c r="BC29" s="1424"/>
      <c r="BD29" s="1431">
        <v>0.5</v>
      </c>
      <c r="BE29" s="1425">
        <f>BC28*BD29</f>
        <v>635859.56953125005</v>
      </c>
      <c r="BF29" s="1427">
        <v>2036</v>
      </c>
      <c r="BG29" s="1427"/>
      <c r="BH29" s="1428">
        <v>0.22220000000000001</v>
      </c>
      <c r="BI29" s="1296">
        <f>BG28*BH29</f>
        <v>656540.41762237798</v>
      </c>
      <c r="BJ29" s="1424">
        <v>2026</v>
      </c>
      <c r="BK29" s="1432"/>
      <c r="BL29" s="1431">
        <v>0.66659999999999997</v>
      </c>
      <c r="BM29" s="1425">
        <f>BK28*BL29</f>
        <v>2411683.6711575361</v>
      </c>
    </row>
    <row r="30" spans="2:71" x14ac:dyDescent="0.3">
      <c r="K30" s="1289"/>
      <c r="L30" s="1283" t="s">
        <v>1620</v>
      </c>
      <c r="M30" s="1292" t="s">
        <v>1641</v>
      </c>
      <c r="N30" s="1334"/>
      <c r="O30" s="1339">
        <f t="shared" ref="O30:AG30" si="37">O29*6.2%</f>
        <v>0</v>
      </c>
      <c r="P30" s="1339">
        <f t="shared" si="37"/>
        <v>-193.75</v>
      </c>
      <c r="Q30" s="1339">
        <f t="shared" si="37"/>
        <v>3270.8875000000035</v>
      </c>
      <c r="R30" s="1339">
        <f t="shared" si="37"/>
        <v>5336.7468750000035</v>
      </c>
      <c r="S30" s="1339">
        <f t="shared" si="37"/>
        <v>14007.446875</v>
      </c>
      <c r="T30" s="1339">
        <f t="shared" si="37"/>
        <v>7437.6750000000002</v>
      </c>
      <c r="U30" s="1339">
        <f t="shared" si="37"/>
        <v>9435.8187500000004</v>
      </c>
      <c r="V30" s="1339">
        <f t="shared" si="37"/>
        <v>11364.4546875</v>
      </c>
      <c r="W30" s="1339">
        <f t="shared" si="37"/>
        <v>12902.442187500001</v>
      </c>
      <c r="X30" s="1339">
        <f t="shared" si="37"/>
        <v>15536.200976562501</v>
      </c>
      <c r="Y30" s="1339">
        <f t="shared" si="37"/>
        <v>16456.513476562501</v>
      </c>
      <c r="Z30" s="1339">
        <f t="shared" si="37"/>
        <v>21814.609179687508</v>
      </c>
      <c r="AA30" s="1339">
        <f t="shared" si="37"/>
        <v>34761.52001953125</v>
      </c>
      <c r="AB30" s="1339">
        <f t="shared" si="37"/>
        <v>45805.27001953125</v>
      </c>
      <c r="AC30" s="1339">
        <f t="shared" si="37"/>
        <v>25377.085510253906</v>
      </c>
      <c r="AD30" s="1339">
        <f t="shared" si="37"/>
        <v>37191.767517089844</v>
      </c>
      <c r="AE30" s="1339">
        <f t="shared" si="37"/>
        <v>53404.259396362308</v>
      </c>
      <c r="AF30" s="1339">
        <f t="shared" si="37"/>
        <v>69522.267995452887</v>
      </c>
      <c r="AG30" s="1339">
        <f t="shared" si="37"/>
        <v>95926.576993179318</v>
      </c>
      <c r="AH30" s="1415"/>
      <c r="AI30" s="1394"/>
      <c r="AJ30" s="1394"/>
      <c r="AK30" s="1367">
        <f>AK28*AK29</f>
        <v>3200000000</v>
      </c>
      <c r="AL30" s="1394"/>
      <c r="AM30" s="1394"/>
      <c r="AN30" s="1394"/>
      <c r="AO30" s="1394"/>
      <c r="AP30" s="1394"/>
      <c r="AQ30" s="1394"/>
      <c r="AR30" s="1417"/>
      <c r="AS30" s="1394"/>
      <c r="AT30" s="1394"/>
      <c r="AU30" s="1394"/>
      <c r="AV30" s="1394"/>
      <c r="AW30" s="1394"/>
      <c r="AX30" s="1417"/>
      <c r="AY30" s="1417"/>
      <c r="AZ30" s="1394"/>
      <c r="BA30" s="1394"/>
      <c r="BB30" s="1424"/>
      <c r="BC30" s="1424"/>
      <c r="BD30" s="1431">
        <v>0.75</v>
      </c>
      <c r="BE30" s="1425">
        <f>BC28*BD30</f>
        <v>953789.35429687507</v>
      </c>
      <c r="BF30" s="1427"/>
      <c r="BG30" s="1427"/>
      <c r="BH30" s="1428">
        <v>0.33329999999999999</v>
      </c>
      <c r="BI30" s="1296">
        <f>BG28*BH30</f>
        <v>984810.62643356691</v>
      </c>
      <c r="BJ30" s="1424"/>
      <c r="BK30" s="1425"/>
      <c r="BL30" s="1431"/>
      <c r="BM30" s="1425"/>
    </row>
    <row r="31" spans="2:71" x14ac:dyDescent="0.3">
      <c r="K31" s="1289"/>
      <c r="L31" s="1283" t="s">
        <v>1625</v>
      </c>
      <c r="M31" s="1292" t="s">
        <v>1502</v>
      </c>
      <c r="N31" s="1433"/>
      <c r="O31" s="1405">
        <f t="shared" ref="O31:AG31" si="38">O27-O29-O30</f>
        <v>-150000</v>
      </c>
      <c r="P31" s="1405">
        <f t="shared" si="38"/>
        <v>-21681.25</v>
      </c>
      <c r="Q31" s="1405">
        <f t="shared" si="38"/>
        <v>366022.8625000004</v>
      </c>
      <c r="R31" s="1405">
        <f t="shared" si="38"/>
        <v>597199.19062500051</v>
      </c>
      <c r="S31" s="1405">
        <f t="shared" si="38"/>
        <v>1567478.4906250001</v>
      </c>
      <c r="T31" s="1405">
        <f t="shared" si="38"/>
        <v>832299.82499999995</v>
      </c>
      <c r="U31" s="1405">
        <f t="shared" si="38"/>
        <v>1055898.5562499999</v>
      </c>
      <c r="V31" s="1405">
        <f t="shared" si="38"/>
        <v>1271719.1390625001</v>
      </c>
      <c r="W31" s="1405">
        <f t="shared" si="38"/>
        <v>1443824.9015625</v>
      </c>
      <c r="X31" s="1405">
        <f t="shared" si="38"/>
        <v>1738551.0060546875</v>
      </c>
      <c r="Y31" s="1405">
        <f t="shared" si="38"/>
        <v>1841536.9435546875</v>
      </c>
      <c r="Z31" s="1405">
        <f t="shared" si="38"/>
        <v>2441125.1369140632</v>
      </c>
      <c r="AA31" s="1405">
        <f t="shared" si="38"/>
        <v>3889926.2241210938</v>
      </c>
      <c r="AB31" s="1405">
        <f t="shared" si="38"/>
        <v>5125757.4741210938</v>
      </c>
      <c r="AC31" s="1405">
        <f t="shared" si="38"/>
        <v>2839777.7301635742</v>
      </c>
      <c r="AD31" s="1405">
        <f t="shared" si="38"/>
        <v>4161878.758605957</v>
      </c>
      <c r="AE31" s="1405">
        <f t="shared" si="38"/>
        <v>5976108.8982574465</v>
      </c>
      <c r="AF31" s="1405">
        <f t="shared" si="38"/>
        <v>7779766.0540718082</v>
      </c>
      <c r="AG31" s="1405">
        <f t="shared" si="38"/>
        <v>10734493.406107713</v>
      </c>
      <c r="AH31" s="1415"/>
      <c r="AI31" s="1394"/>
      <c r="AJ31" s="1394"/>
      <c r="AK31" s="1367">
        <v>512</v>
      </c>
      <c r="AL31" s="1394" t="s">
        <v>1642</v>
      </c>
      <c r="AM31" s="1394"/>
      <c r="AN31" s="1394"/>
      <c r="AO31" s="1394"/>
      <c r="AP31" s="1394"/>
      <c r="AQ31" s="1394"/>
      <c r="AR31" s="1417"/>
      <c r="AS31" s="1394"/>
      <c r="AT31" s="1394"/>
      <c r="AU31" s="1394"/>
      <c r="AV31" s="1394">
        <v>66</v>
      </c>
      <c r="AW31" s="1393">
        <v>0.57999999999999996</v>
      </c>
      <c r="AX31" s="1417"/>
      <c r="AY31" s="1417">
        <f>AV31*AW31</f>
        <v>38.279999999999994</v>
      </c>
      <c r="AZ31" s="1394"/>
      <c r="BA31" s="1394"/>
      <c r="BB31" s="1434"/>
      <c r="BC31" s="1435"/>
      <c r="BD31" s="1435"/>
      <c r="BE31" s="1281"/>
      <c r="BF31" s="1427"/>
      <c r="BG31" s="1427"/>
      <c r="BH31" s="1428">
        <v>0.44440000000000002</v>
      </c>
      <c r="BI31" s="1296">
        <f>BG28*BH31</f>
        <v>1313080.835244756</v>
      </c>
      <c r="BJ31" s="1424">
        <v>2019</v>
      </c>
      <c r="BK31" s="1425">
        <f>BL5-BG5</f>
        <v>1720753.6216918938</v>
      </c>
      <c r="BL31" s="1431">
        <v>0.2</v>
      </c>
      <c r="BM31" s="1425">
        <f>BK31*BL31</f>
        <v>344150.72433837876</v>
      </c>
    </row>
    <row r="32" spans="2:71" x14ac:dyDescent="0.3">
      <c r="K32" s="1289"/>
      <c r="L32" s="1283" t="s">
        <v>1514</v>
      </c>
      <c r="M32" s="1292" t="s">
        <v>1643</v>
      </c>
      <c r="N32" s="1292"/>
      <c r="O32" s="1359">
        <f t="shared" ref="O32:AF32" si="39">O31/O22</f>
        <v>-0.06</v>
      </c>
      <c r="P32" s="1359">
        <f t="shared" si="39"/>
        <v>-8.2595238095238104E-3</v>
      </c>
      <c r="Q32" s="1359">
        <f t="shared" si="39"/>
        <v>0.12676116450216462</v>
      </c>
      <c r="R32" s="1359">
        <f t="shared" si="39"/>
        <v>0.17984541784302666</v>
      </c>
      <c r="S32" s="1359">
        <f t="shared" si="39"/>
        <v>0.26929728175668421</v>
      </c>
      <c r="T32" s="1359">
        <f t="shared" si="39"/>
        <v>0.16140789779889458</v>
      </c>
      <c r="U32" s="1359">
        <f t="shared" si="39"/>
        <v>0.20477039779889458</v>
      </c>
      <c r="V32" s="1359">
        <f t="shared" si="39"/>
        <v>0.21848498040373673</v>
      </c>
      <c r="W32" s="1359">
        <f t="shared" si="39"/>
        <v>0.24805324197358533</v>
      </c>
      <c r="X32" s="1359">
        <f t="shared" si="39"/>
        <v>0.26140553127569599</v>
      </c>
      <c r="Y32" s="1359">
        <f t="shared" si="39"/>
        <v>0.2668591970734745</v>
      </c>
      <c r="Z32" s="1359">
        <f>Z31/Z22</f>
        <v>0.30750549147496625</v>
      </c>
      <c r="AA32" s="1359">
        <f t="shared" si="39"/>
        <v>0.42118844838615876</v>
      </c>
      <c r="AB32" s="1359">
        <f t="shared" si="39"/>
        <v>0.43677011408600136</v>
      </c>
      <c r="AC32" s="1359">
        <f t="shared" si="39"/>
        <v>0.2900716862492051</v>
      </c>
      <c r="AD32" s="1359">
        <f t="shared" si="39"/>
        <v>0.34510130412624185</v>
      </c>
      <c r="AE32" s="1359">
        <f t="shared" si="39"/>
        <v>0.35651987393797385</v>
      </c>
      <c r="AF32" s="1359">
        <f t="shared" si="39"/>
        <v>0.35950144669667716</v>
      </c>
      <c r="AG32" s="1436">
        <f>AG31/AG22</f>
        <v>0.37065794479609376</v>
      </c>
      <c r="AH32" s="1415"/>
      <c r="AI32" s="1394"/>
      <c r="AJ32" s="1394"/>
      <c r="AK32" s="1367">
        <f>AK30*AK31</f>
        <v>1638400000000</v>
      </c>
      <c r="AL32" s="1394"/>
      <c r="AM32" s="1394"/>
      <c r="AN32" s="1367">
        <f>AK22</f>
        <v>6623033854367.8115</v>
      </c>
      <c r="AO32" s="1416">
        <v>2.4700000000000002</v>
      </c>
      <c r="AP32" s="1367">
        <f>AN32*AO32</f>
        <v>16358893620288.496</v>
      </c>
      <c r="AQ32" s="1394"/>
      <c r="AR32" s="1417"/>
      <c r="AS32" s="1394"/>
      <c r="AT32" s="1394"/>
      <c r="AU32" s="1394"/>
      <c r="AV32" s="1394"/>
      <c r="AW32" s="1394"/>
      <c r="AX32" s="1417"/>
      <c r="AY32" s="1417"/>
      <c r="AZ32" s="1394"/>
      <c r="BA32" s="1394"/>
      <c r="BB32" s="1434"/>
      <c r="BC32" s="1435"/>
      <c r="BD32" s="1435"/>
      <c r="BE32" s="1281"/>
      <c r="BF32" s="1427"/>
      <c r="BG32" s="1427"/>
      <c r="BH32" s="1428">
        <v>0.55549999999999999</v>
      </c>
      <c r="BI32" s="1296">
        <f>BG28*BH32</f>
        <v>1641351.0440559448</v>
      </c>
      <c r="BJ32" s="1424">
        <v>2024</v>
      </c>
      <c r="BK32" s="1425"/>
      <c r="BL32" s="1431">
        <v>0.4</v>
      </c>
      <c r="BM32" s="1425">
        <f>BK31*BL32</f>
        <v>688301.44867675751</v>
      </c>
    </row>
    <row r="33" spans="11:65" x14ac:dyDescent="0.3">
      <c r="K33" s="1289"/>
      <c r="L33" s="1437"/>
      <c r="M33" s="1438" t="s">
        <v>785</v>
      </c>
      <c r="N33" s="1306"/>
      <c r="O33" s="1439">
        <v>2500000</v>
      </c>
      <c r="P33" s="1281"/>
      <c r="Q33" s="1440"/>
      <c r="R33" s="1440"/>
      <c r="S33" s="1440"/>
      <c r="T33" s="1441"/>
      <c r="U33" s="1440"/>
      <c r="V33" s="1442">
        <f>V31*4</f>
        <v>5086876.5562500004</v>
      </c>
      <c r="W33" s="1440"/>
      <c r="X33" s="1440"/>
      <c r="Y33" s="1440"/>
      <c r="Z33" s="1442">
        <f>Z31*3</f>
        <v>7323375.4107421897</v>
      </c>
      <c r="AA33" s="1440"/>
      <c r="AB33" s="1440"/>
      <c r="AC33" s="1440"/>
      <c r="AD33" s="1442">
        <f>AD31*5</f>
        <v>20809393.793029785</v>
      </c>
      <c r="AE33" s="1442">
        <f>AE31*2</f>
        <v>11952217.796514893</v>
      </c>
      <c r="AF33" s="1442">
        <f>AF31*2</f>
        <v>15559532.108143616</v>
      </c>
      <c r="AG33" s="1442">
        <f>AG31*6</f>
        <v>64406960.436646275</v>
      </c>
      <c r="AH33" s="1293"/>
      <c r="AK33" s="1367">
        <v>16</v>
      </c>
      <c r="AL33" s="1269" t="s">
        <v>1644</v>
      </c>
      <c r="BB33" s="1279"/>
      <c r="BC33" s="1281"/>
      <c r="BD33" s="1281"/>
      <c r="BE33" s="1281"/>
      <c r="BF33" s="1295"/>
      <c r="BG33" s="1295"/>
      <c r="BH33" s="1428">
        <v>0.66659999999999997</v>
      </c>
      <c r="BI33" s="1296">
        <f>BG28*BH33</f>
        <v>1969621.2528671338</v>
      </c>
      <c r="BJ33" s="1443"/>
      <c r="BK33" s="1424"/>
      <c r="BL33" s="1431">
        <v>0.6</v>
      </c>
      <c r="BM33" s="1425">
        <f>BK31*BL33</f>
        <v>1032452.1730151363</v>
      </c>
    </row>
    <row r="34" spans="11:65" x14ac:dyDescent="0.3">
      <c r="K34" s="1289"/>
      <c r="L34" s="1444"/>
      <c r="M34" s="1438" t="s">
        <v>1540</v>
      </c>
      <c r="N34" s="1306"/>
      <c r="O34" s="1445">
        <f>V33+Z33+AD33+AE33+AF33+AG33-2575000*75%</f>
        <v>123207106.10132676</v>
      </c>
      <c r="P34" s="1281"/>
      <c r="Q34" s="1281"/>
      <c r="R34" s="1281"/>
      <c r="S34" s="1281"/>
      <c r="T34" s="1446"/>
      <c r="U34" s="1447"/>
      <c r="V34" s="1281"/>
      <c r="W34" s="1281"/>
      <c r="X34" s="1281"/>
      <c r="Y34" s="1281"/>
      <c r="Z34" s="1448">
        <f>Z31/2</f>
        <v>1220562.5684570316</v>
      </c>
      <c r="AA34" s="1447">
        <v>0.3</v>
      </c>
      <c r="AB34" s="1408">
        <f>Z31*AA34</f>
        <v>732337.54107421893</v>
      </c>
      <c r="AC34" s="1449"/>
      <c r="AD34" s="1449"/>
      <c r="AE34" s="1361"/>
      <c r="AF34" s="1450"/>
      <c r="AG34" s="1450"/>
      <c r="AH34" s="1293"/>
      <c r="AK34" s="1367">
        <f>AK32*AK33</f>
        <v>26214400000000</v>
      </c>
      <c r="AL34" s="1367">
        <f>AK34*AL22</f>
        <v>16384000000000</v>
      </c>
      <c r="AM34" s="1416">
        <v>0.52</v>
      </c>
      <c r="AN34" s="1367">
        <f>AL34*AM34</f>
        <v>8519680000000</v>
      </c>
      <c r="BB34" s="1279"/>
      <c r="BC34" s="1281"/>
      <c r="BD34" s="1281"/>
      <c r="BE34" s="1281"/>
      <c r="BF34" s="1295"/>
      <c r="BG34" s="1295"/>
      <c r="BH34" s="1428"/>
      <c r="BI34" s="1296">
        <f>BG34*BH34</f>
        <v>0</v>
      </c>
      <c r="BJ34" s="1281"/>
      <c r="BK34" s="1435"/>
      <c r="BL34" s="1451">
        <v>0.8</v>
      </c>
      <c r="BM34" s="1452">
        <f>BK31*BL34</f>
        <v>1376602.897353515</v>
      </c>
    </row>
    <row r="35" spans="11:65" x14ac:dyDescent="0.3">
      <c r="K35" s="1289"/>
      <c r="L35" s="1444"/>
      <c r="M35" s="1453">
        <v>48</v>
      </c>
      <c r="N35" s="1306"/>
      <c r="O35" s="1445">
        <f>O33*M35</f>
        <v>120000000</v>
      </c>
      <c r="P35" s="1281"/>
      <c r="Q35" s="1281"/>
      <c r="R35" s="1281"/>
      <c r="S35" s="1281"/>
      <c r="T35" s="1450"/>
      <c r="U35" s="1450"/>
      <c r="V35" s="1454"/>
      <c r="W35" s="1454"/>
      <c r="X35" s="1281"/>
      <c r="Y35" s="1281"/>
      <c r="Z35" s="1281"/>
      <c r="AA35" s="1281"/>
      <c r="AB35" s="1455">
        <v>722563</v>
      </c>
      <c r="AC35" s="1281"/>
      <c r="AD35" s="1281"/>
      <c r="AE35" s="1281"/>
      <c r="AF35" s="1450"/>
      <c r="AG35" s="1450"/>
      <c r="AH35" s="1293"/>
      <c r="AK35" s="1367">
        <f>AK22</f>
        <v>6623033854367.8115</v>
      </c>
      <c r="AL35" s="1269" t="s">
        <v>1645</v>
      </c>
      <c r="AR35" s="1283"/>
      <c r="AS35" s="1292" t="s">
        <v>1646</v>
      </c>
      <c r="AT35" s="1284">
        <v>2036</v>
      </c>
      <c r="AU35" s="1283" t="s">
        <v>1614</v>
      </c>
      <c r="AV35" s="1295" t="s">
        <v>1513</v>
      </c>
      <c r="AW35" s="1296">
        <f>AG29-AG30</f>
        <v>1451276.2777355195</v>
      </c>
      <c r="AX35" s="1284" t="s">
        <v>1596</v>
      </c>
      <c r="AY35" s="1284" t="s">
        <v>1647</v>
      </c>
      <c r="AZ35" s="1359">
        <f>AW43/AT36</f>
        <v>0.66714374162804535</v>
      </c>
      <c r="BB35" s="1279"/>
      <c r="BC35" s="1281"/>
      <c r="BD35" s="1281"/>
      <c r="BE35" s="1281"/>
      <c r="BF35" s="1295"/>
      <c r="BG35" s="1295"/>
      <c r="BH35" s="1428"/>
      <c r="BI35" s="1296">
        <f>BG35*BH35</f>
        <v>0</v>
      </c>
      <c r="BJ35" s="1281"/>
      <c r="BK35" s="1281"/>
      <c r="BL35" s="1281"/>
      <c r="BM35" s="1282"/>
    </row>
    <row r="36" spans="11:65" x14ac:dyDescent="0.3">
      <c r="K36" s="1289"/>
      <c r="L36" s="1444"/>
      <c r="M36" s="1283" t="s">
        <v>1648</v>
      </c>
      <c r="N36" s="1306"/>
      <c r="O36" s="1445">
        <f>BN10</f>
        <v>129356129.96812132</v>
      </c>
      <c r="P36" s="1281"/>
      <c r="Q36" s="1447"/>
      <c r="R36" s="1281"/>
      <c r="S36" s="1450"/>
      <c r="T36" s="1281"/>
      <c r="U36" s="1281"/>
      <c r="V36" s="1447"/>
      <c r="W36" s="1447"/>
      <c r="X36" s="1281"/>
      <c r="Y36" s="1281"/>
      <c r="Z36" s="1281"/>
      <c r="AA36" s="1281"/>
      <c r="AB36" s="1281"/>
      <c r="AC36" s="1281"/>
      <c r="AD36" s="1281"/>
      <c r="AE36" s="1281"/>
      <c r="AF36" s="1281"/>
      <c r="AG36" s="1450"/>
      <c r="AH36" s="1293"/>
      <c r="AK36" s="1393">
        <f>AK35/AK34</f>
        <v>0.25264869134398693</v>
      </c>
      <c r="AN36" s="1393">
        <f>AN34/AN32</f>
        <v>1.2863711989606355</v>
      </c>
      <c r="AR36" s="1283" t="s">
        <v>1510</v>
      </c>
      <c r="AS36" s="1295" t="s">
        <v>1649</v>
      </c>
      <c r="AT36" s="1296">
        <f>AG22</f>
        <v>28960645.67565918</v>
      </c>
      <c r="AU36" s="1283" t="s">
        <v>1618</v>
      </c>
      <c r="AV36" s="1334" t="s">
        <v>1650</v>
      </c>
      <c r="AW36" s="1339">
        <f>AW35*66.66%</f>
        <v>967420.76673849719</v>
      </c>
      <c r="AX36" s="1456"/>
      <c r="AY36" s="1457"/>
      <c r="AZ36" s="1282"/>
      <c r="BB36" s="1279"/>
      <c r="BC36" s="1281"/>
      <c r="BD36" s="1281"/>
      <c r="BE36" s="1281"/>
      <c r="BF36" s="1295"/>
      <c r="BG36" s="1295"/>
      <c r="BH36" s="1428">
        <v>0.77769999999999995</v>
      </c>
      <c r="BI36" s="1296">
        <f>BG28*BH36</f>
        <v>2297891.4616783224</v>
      </c>
      <c r="BJ36" s="1281"/>
      <c r="BK36" s="1281"/>
      <c r="BL36" s="1281"/>
      <c r="BM36" s="1282"/>
    </row>
    <row r="37" spans="11:65" x14ac:dyDescent="0.3">
      <c r="K37" s="1289"/>
      <c r="L37" s="1444"/>
      <c r="M37" s="1283" t="s">
        <v>1560</v>
      </c>
      <c r="N37" s="1306"/>
      <c r="O37" s="1381">
        <v>51.75</v>
      </c>
      <c r="P37" s="1281"/>
      <c r="Q37" s="1450"/>
      <c r="R37" s="1281"/>
      <c r="S37" s="1450"/>
      <c r="T37" s="1281"/>
      <c r="U37" s="1281"/>
      <c r="V37" s="1458"/>
      <c r="W37" s="1459"/>
      <c r="X37" s="1281"/>
      <c r="Y37" s="1281"/>
      <c r="Z37" s="1281"/>
      <c r="AA37" s="1281"/>
      <c r="AB37" s="1451"/>
      <c r="AC37" s="1281"/>
      <c r="AD37" s="1281"/>
      <c r="AE37" s="1281"/>
      <c r="AF37" s="1281"/>
      <c r="AG37" s="1450"/>
      <c r="AH37" s="1293"/>
      <c r="AK37" s="1367"/>
      <c r="AR37" s="1283" t="s">
        <v>1535</v>
      </c>
      <c r="AS37" s="1295" t="s">
        <v>1536</v>
      </c>
      <c r="AT37" s="1296">
        <f>AG31</f>
        <v>10734493.406107713</v>
      </c>
      <c r="AU37" s="1283" t="s">
        <v>1623</v>
      </c>
      <c r="AV37" s="1334" t="s">
        <v>1606</v>
      </c>
      <c r="AW37" s="1339">
        <f>AG15</f>
        <v>500000</v>
      </c>
      <c r="AX37" s="1456"/>
      <c r="AY37" s="1457"/>
      <c r="AZ37" s="1282"/>
      <c r="BB37" s="1350"/>
      <c r="BC37" s="1351"/>
      <c r="BD37" s="1351"/>
      <c r="BE37" s="1351"/>
      <c r="BF37" s="1295"/>
      <c r="BG37" s="1295"/>
      <c r="BH37" s="1428">
        <v>0.88880000000000003</v>
      </c>
      <c r="BI37" s="1296">
        <f>BG28*BH37</f>
        <v>2626161.6704895119</v>
      </c>
      <c r="BJ37" s="1351"/>
      <c r="BK37" s="1351"/>
      <c r="BL37" s="1351"/>
      <c r="BM37" s="1352"/>
    </row>
    <row r="38" spans="11:65" x14ac:dyDescent="0.3">
      <c r="K38" s="1289"/>
      <c r="L38" s="1460"/>
      <c r="M38" s="1283" t="s">
        <v>1577</v>
      </c>
      <c r="N38" s="1306"/>
      <c r="O38" s="1461">
        <v>0.19650000000000001</v>
      </c>
      <c r="P38" s="1281"/>
      <c r="Q38" s="1281"/>
      <c r="R38" s="1281"/>
      <c r="S38" s="1450"/>
      <c r="T38" s="1281"/>
      <c r="U38" s="1281"/>
      <c r="V38" s="1459"/>
      <c r="W38" s="1459"/>
      <c r="X38" s="1281"/>
      <c r="Y38" s="1281"/>
      <c r="Z38" s="1281"/>
      <c r="AA38" s="1281"/>
      <c r="AB38" s="1281"/>
      <c r="AC38" s="1281"/>
      <c r="AD38" s="1281"/>
      <c r="AE38" s="1281"/>
      <c r="AF38" s="1281"/>
      <c r="AG38" s="1450"/>
      <c r="AH38" s="1293"/>
      <c r="AO38" s="1269">
        <v>247</v>
      </c>
      <c r="AR38" s="1283" t="s">
        <v>1556</v>
      </c>
      <c r="AS38" s="1292" t="s">
        <v>1579</v>
      </c>
      <c r="AT38" s="1462">
        <f>AT37/AT36</f>
        <v>0.37065794479609376</v>
      </c>
      <c r="AU38" s="1283" t="s">
        <v>1512</v>
      </c>
      <c r="AV38" s="1334" t="s">
        <v>1607</v>
      </c>
      <c r="AW38" s="1339">
        <f>AG16</f>
        <v>700000</v>
      </c>
      <c r="AX38" s="1456"/>
      <c r="AY38" s="1457"/>
      <c r="AZ38" s="1282"/>
    </row>
    <row r="39" spans="11:65" ht="14.4" thickBot="1" x14ac:dyDescent="0.35">
      <c r="K39" s="1463"/>
      <c r="L39" s="1464"/>
      <c r="M39" s="1464"/>
      <c r="N39" s="1464"/>
      <c r="O39" s="1465"/>
      <c r="P39" s="1464"/>
      <c r="Q39" s="1464"/>
      <c r="R39" s="1464"/>
      <c r="S39" s="1466"/>
      <c r="T39" s="1464"/>
      <c r="U39" s="1464"/>
      <c r="V39" s="1467"/>
      <c r="W39" s="1467"/>
      <c r="X39" s="1464"/>
      <c r="Y39" s="1464"/>
      <c r="Z39" s="1464"/>
      <c r="AA39" s="1464"/>
      <c r="AB39" s="1464"/>
      <c r="AC39" s="1464"/>
      <c r="AD39" s="1464"/>
      <c r="AE39" s="1464"/>
      <c r="AF39" s="1464"/>
      <c r="AG39" s="1465"/>
      <c r="AH39" s="1468"/>
      <c r="AK39" s="1367"/>
      <c r="AO39" s="1269">
        <v>129</v>
      </c>
      <c r="AR39" s="1283" t="s">
        <v>1580</v>
      </c>
      <c r="AS39" s="1295" t="s">
        <v>1651</v>
      </c>
      <c r="AT39" s="1296">
        <f>AG24</f>
        <v>11584258.270263672</v>
      </c>
      <c r="AU39" s="1283" t="s">
        <v>1537</v>
      </c>
      <c r="AV39" s="1295" t="s">
        <v>1538</v>
      </c>
      <c r="AW39" s="1296">
        <f>AG9+AG10*75%*75%</f>
        <v>1078125</v>
      </c>
      <c r="AX39" s="1469"/>
      <c r="AY39" s="1470"/>
      <c r="AZ39" s="1471"/>
    </row>
    <row r="40" spans="11:65" x14ac:dyDescent="0.3">
      <c r="O40" s="1393"/>
      <c r="R40" s="1281"/>
      <c r="S40" s="1450"/>
      <c r="T40" s="1281"/>
      <c r="U40" s="1281"/>
      <c r="V40" s="1422"/>
      <c r="W40" s="1422"/>
      <c r="AG40" s="1393"/>
      <c r="AK40" s="1393">
        <v>1.88</v>
      </c>
      <c r="AL40" s="1416">
        <v>1.25</v>
      </c>
      <c r="AM40" s="1393">
        <f>AK40*AL40</f>
        <v>2.3499999999999996</v>
      </c>
      <c r="AO40" s="1269">
        <f>AO38-AO39</f>
        <v>118</v>
      </c>
      <c r="AR40" s="1283" t="s">
        <v>1588</v>
      </c>
      <c r="AS40" s="1295" t="s">
        <v>1652</v>
      </c>
      <c r="AT40" s="1296">
        <f>AT39*AT38</f>
        <v>4293797.3624430848</v>
      </c>
      <c r="AU40" s="1283" t="s">
        <v>1558</v>
      </c>
      <c r="AV40" s="1295" t="s">
        <v>1650</v>
      </c>
      <c r="AW40" s="1296">
        <f>AW39*66%</f>
        <v>711562.5</v>
      </c>
      <c r="AX40" s="1283" t="s">
        <v>899</v>
      </c>
      <c r="AY40" s="1284" t="s">
        <v>1653</v>
      </c>
      <c r="AZ40" s="1359">
        <f>AZ35</f>
        <v>0.66714374162804535</v>
      </c>
    </row>
    <row r="41" spans="11:65" x14ac:dyDescent="0.3">
      <c r="L41" s="1472"/>
      <c r="M41" s="1292"/>
      <c r="N41" s="1292"/>
      <c r="O41" s="1473">
        <v>0.19650000000000001</v>
      </c>
      <c r="P41" s="1474"/>
      <c r="Q41" s="1306"/>
      <c r="R41" s="1281"/>
      <c r="S41" s="1281"/>
      <c r="T41" s="1450"/>
      <c r="U41" s="1281"/>
      <c r="AF41" s="1416"/>
      <c r="AG41" s="1362"/>
      <c r="AK41" s="1367"/>
      <c r="AO41" s="1269">
        <v>2</v>
      </c>
      <c r="AR41" s="1283" t="s">
        <v>1594</v>
      </c>
      <c r="AS41" s="1295" t="s">
        <v>1654</v>
      </c>
      <c r="AT41" s="1296">
        <f>AT40*AT38</f>
        <v>1591530.1057340419</v>
      </c>
      <c r="AU41" s="1283" t="s">
        <v>1574</v>
      </c>
      <c r="AV41" s="1334" t="s">
        <v>1655</v>
      </c>
      <c r="AW41" s="1339">
        <f>AW40*75%</f>
        <v>533671.875</v>
      </c>
      <c r="AX41" s="1283" t="s">
        <v>1611</v>
      </c>
      <c r="AY41" s="1284" t="s">
        <v>1656</v>
      </c>
      <c r="AZ41" s="1462">
        <v>0.18</v>
      </c>
    </row>
    <row r="42" spans="11:65" x14ac:dyDescent="0.3">
      <c r="L42" s="1416"/>
      <c r="M42" s="1275">
        <v>2500000</v>
      </c>
      <c r="N42" s="1292"/>
      <c r="O42" s="1473">
        <f>O41</f>
        <v>0.19650000000000001</v>
      </c>
      <c r="P42" s="1307">
        <f>M42*O42</f>
        <v>491250</v>
      </c>
      <c r="Q42" s="1306">
        <v>2014</v>
      </c>
      <c r="R42" s="1281"/>
      <c r="S42" s="1450"/>
      <c r="T42" s="1281"/>
      <c r="U42" s="1281"/>
      <c r="AG42" s="1362"/>
      <c r="AK42" s="1367"/>
      <c r="AO42" s="1269">
        <f>AO40/AO41</f>
        <v>59</v>
      </c>
      <c r="AR42" s="1283" t="s">
        <v>1601</v>
      </c>
      <c r="AS42" s="1306" t="s">
        <v>1657</v>
      </c>
      <c r="AT42" s="1346">
        <f>AT37+AT40+AT41</f>
        <v>16619820.874284841</v>
      </c>
      <c r="AU42" s="1283" t="s">
        <v>1582</v>
      </c>
      <c r="AV42" s="1306" t="s">
        <v>1658</v>
      </c>
      <c r="AW42" s="1346">
        <f>AW36+AW37+AW38+AW41</f>
        <v>2701092.6417384972</v>
      </c>
      <c r="AX42" s="1283" t="s">
        <v>1615</v>
      </c>
      <c r="AY42" s="1284" t="s">
        <v>1659</v>
      </c>
      <c r="AZ42" s="1462">
        <f>AZ40+AZ41</f>
        <v>0.8471437416280454</v>
      </c>
    </row>
    <row r="43" spans="11:65" x14ac:dyDescent="0.3">
      <c r="L43" s="1362"/>
      <c r="M43" s="1275">
        <f>P42+M42</f>
        <v>2991250</v>
      </c>
      <c r="N43" s="1292"/>
      <c r="O43" s="1473">
        <f t="shared" ref="O43:O64" si="40">O42</f>
        <v>0.19650000000000001</v>
      </c>
      <c r="P43" s="1307">
        <f>M43*O43</f>
        <v>587780.625</v>
      </c>
      <c r="Q43" s="1306">
        <f>Q42+1</f>
        <v>2015</v>
      </c>
      <c r="X43" s="1362"/>
      <c r="AG43" s="1362"/>
      <c r="AK43" s="1367"/>
      <c r="AO43" s="1269">
        <f>AO39+AO42</f>
        <v>188</v>
      </c>
      <c r="AR43" s="1283" t="s">
        <v>1610</v>
      </c>
      <c r="AS43" s="1292" t="s">
        <v>1660</v>
      </c>
      <c r="AT43" s="1359">
        <f>AT42/AT36</f>
        <v>0.57387604753071697</v>
      </c>
      <c r="AU43" s="1283" t="s">
        <v>1590</v>
      </c>
      <c r="AV43" s="1306" t="s">
        <v>1661</v>
      </c>
      <c r="AW43" s="1346">
        <f>AT42+AW42</f>
        <v>19320913.516023338</v>
      </c>
      <c r="AX43" s="1283" t="s">
        <v>1620</v>
      </c>
      <c r="AY43" s="1475" t="s">
        <v>1622</v>
      </c>
      <c r="AZ43" s="1476">
        <f>100%-AZ42</f>
        <v>0.1528562583719546</v>
      </c>
    </row>
    <row r="44" spans="11:65" x14ac:dyDescent="0.3">
      <c r="M44" s="1275">
        <f>P43+M43</f>
        <v>3579030.625</v>
      </c>
      <c r="N44" s="1292"/>
      <c r="O44" s="1473">
        <f t="shared" si="40"/>
        <v>0.19650000000000001</v>
      </c>
      <c r="P44" s="1307">
        <f>M44*O44</f>
        <v>703279.51781250001</v>
      </c>
      <c r="Q44" s="1306">
        <f>Q43+1</f>
        <v>2016</v>
      </c>
      <c r="T44" s="1364"/>
      <c r="AG44" s="1393"/>
      <c r="AK44" s="1367"/>
    </row>
    <row r="45" spans="11:65" x14ac:dyDescent="0.3">
      <c r="M45" s="1275">
        <f t="shared" ref="M45:M64" si="41">P44+M44</f>
        <v>4282310.1428124998</v>
      </c>
      <c r="N45" s="1292"/>
      <c r="O45" s="1473">
        <f t="shared" si="40"/>
        <v>0.19650000000000001</v>
      </c>
      <c r="P45" s="1307">
        <f t="shared" ref="P45:P64" si="42">M45*O45</f>
        <v>841473.94306265621</v>
      </c>
      <c r="Q45" s="1306">
        <f t="shared" ref="Q45:Q64" si="43">Q44+1</f>
        <v>2017</v>
      </c>
      <c r="T45" s="1364"/>
      <c r="AG45" s="1416"/>
    </row>
    <row r="46" spans="11:65" x14ac:dyDescent="0.3">
      <c r="M46" s="1275">
        <f t="shared" si="41"/>
        <v>5123784.0858751563</v>
      </c>
      <c r="N46" s="1292"/>
      <c r="O46" s="1473">
        <f t="shared" si="40"/>
        <v>0.19650000000000001</v>
      </c>
      <c r="P46" s="1307">
        <f t="shared" si="42"/>
        <v>1006823.5728744683</v>
      </c>
      <c r="Q46" s="1306">
        <f t="shared" si="43"/>
        <v>2018</v>
      </c>
      <c r="T46" s="1364"/>
      <c r="AG46" s="1416"/>
    </row>
    <row r="47" spans="11:65" x14ac:dyDescent="0.3">
      <c r="M47" s="1275">
        <f t="shared" si="41"/>
        <v>6130607.6587496251</v>
      </c>
      <c r="N47" s="1292"/>
      <c r="O47" s="1473">
        <f t="shared" si="40"/>
        <v>0.19650000000000001</v>
      </c>
      <c r="P47" s="1307">
        <f t="shared" si="42"/>
        <v>1204664.4049443014</v>
      </c>
      <c r="Q47" s="1306">
        <f t="shared" si="43"/>
        <v>2019</v>
      </c>
      <c r="T47" s="1364"/>
      <c r="AG47" s="1416"/>
    </row>
    <row r="48" spans="11:65" x14ac:dyDescent="0.3">
      <c r="M48" s="1275">
        <f t="shared" si="41"/>
        <v>7335272.0636939267</v>
      </c>
      <c r="N48" s="1292"/>
      <c r="O48" s="1473">
        <f t="shared" si="40"/>
        <v>0.19650000000000001</v>
      </c>
      <c r="P48" s="1307">
        <f t="shared" si="42"/>
        <v>1441380.9605158567</v>
      </c>
      <c r="Q48" s="1306">
        <f t="shared" si="43"/>
        <v>2020</v>
      </c>
      <c r="T48" s="1364"/>
    </row>
    <row r="49" spans="12:48" x14ac:dyDescent="0.3">
      <c r="M49" s="1275">
        <f t="shared" si="41"/>
        <v>8776653.0242097825</v>
      </c>
      <c r="N49" s="1292"/>
      <c r="O49" s="1473">
        <f t="shared" si="40"/>
        <v>0.19650000000000001</v>
      </c>
      <c r="P49" s="1307">
        <f t="shared" si="42"/>
        <v>1724612.3192572223</v>
      </c>
      <c r="Q49" s="1306">
        <f t="shared" si="43"/>
        <v>2021</v>
      </c>
      <c r="T49" s="1364"/>
    </row>
    <row r="50" spans="12:48" x14ac:dyDescent="0.3">
      <c r="M50" s="1275">
        <f t="shared" si="41"/>
        <v>10501265.343467005</v>
      </c>
      <c r="N50" s="1292"/>
      <c r="O50" s="1473">
        <f t="shared" si="40"/>
        <v>0.19650000000000001</v>
      </c>
      <c r="P50" s="1307">
        <f t="shared" si="42"/>
        <v>2063498.6399912664</v>
      </c>
      <c r="Q50" s="1306">
        <f t="shared" si="43"/>
        <v>2022</v>
      </c>
      <c r="T50" s="1364"/>
    </row>
    <row r="51" spans="12:48" x14ac:dyDescent="0.3">
      <c r="L51" s="1423"/>
      <c r="M51" s="1275">
        <f t="shared" si="41"/>
        <v>12564763.983458271</v>
      </c>
      <c r="N51" s="1292"/>
      <c r="O51" s="1473">
        <f t="shared" si="40"/>
        <v>0.19650000000000001</v>
      </c>
      <c r="P51" s="1307">
        <f t="shared" si="42"/>
        <v>2468976.1227495503</v>
      </c>
      <c r="Q51" s="1306">
        <f t="shared" si="43"/>
        <v>2023</v>
      </c>
      <c r="T51" s="1364"/>
    </row>
    <row r="52" spans="12:48" x14ac:dyDescent="0.3">
      <c r="M52" s="1275">
        <f t="shared" si="41"/>
        <v>15033740.106207822</v>
      </c>
      <c r="N52" s="1292"/>
      <c r="O52" s="1473">
        <f t="shared" si="40"/>
        <v>0.19650000000000001</v>
      </c>
      <c r="P52" s="1307">
        <f t="shared" si="42"/>
        <v>2954129.9308698368</v>
      </c>
      <c r="Q52" s="1306">
        <f t="shared" si="43"/>
        <v>2024</v>
      </c>
      <c r="T52" s="1364"/>
    </row>
    <row r="53" spans="12:48" x14ac:dyDescent="0.3">
      <c r="M53" s="1275">
        <f t="shared" si="41"/>
        <v>17987870.037077658</v>
      </c>
      <c r="N53" s="1292"/>
      <c r="O53" s="1473">
        <f t="shared" si="40"/>
        <v>0.19650000000000001</v>
      </c>
      <c r="P53" s="1307">
        <f t="shared" si="42"/>
        <v>3534616.4622857599</v>
      </c>
      <c r="Q53" s="1306">
        <f t="shared" si="43"/>
        <v>2025</v>
      </c>
      <c r="T53" s="1364"/>
    </row>
    <row r="54" spans="12:48" x14ac:dyDescent="0.3">
      <c r="M54" s="1275">
        <f t="shared" si="41"/>
        <v>21522486.499363419</v>
      </c>
      <c r="N54" s="1292"/>
      <c r="O54" s="1473">
        <f t="shared" si="40"/>
        <v>0.19650000000000001</v>
      </c>
      <c r="P54" s="1307">
        <f t="shared" si="42"/>
        <v>4229168.5971249118</v>
      </c>
      <c r="Q54" s="1306">
        <f t="shared" si="43"/>
        <v>2026</v>
      </c>
      <c r="T54" s="1364"/>
    </row>
    <row r="55" spans="12:48" x14ac:dyDescent="0.3">
      <c r="M55" s="1275">
        <f t="shared" si="41"/>
        <v>25751655.096488331</v>
      </c>
      <c r="N55" s="1292"/>
      <c r="O55" s="1473">
        <f t="shared" si="40"/>
        <v>0.19650000000000001</v>
      </c>
      <c r="P55" s="1307">
        <f t="shared" si="42"/>
        <v>5060200.2264599567</v>
      </c>
      <c r="Q55" s="1306">
        <f t="shared" si="43"/>
        <v>2027</v>
      </c>
      <c r="T55" s="1364"/>
      <c r="AV55" s="1364"/>
    </row>
    <row r="56" spans="12:48" x14ac:dyDescent="0.3">
      <c r="M56" s="1275">
        <f t="shared" si="41"/>
        <v>30811855.322948288</v>
      </c>
      <c r="N56" s="1292"/>
      <c r="O56" s="1473">
        <f t="shared" si="40"/>
        <v>0.19650000000000001</v>
      </c>
      <c r="P56" s="1307">
        <f t="shared" si="42"/>
        <v>6054529.5709593389</v>
      </c>
      <c r="Q56" s="1306">
        <f t="shared" si="43"/>
        <v>2028</v>
      </c>
      <c r="T56" s="1364"/>
      <c r="AV56" s="1362"/>
    </row>
    <row r="57" spans="12:48" x14ac:dyDescent="0.3">
      <c r="M57" s="1275">
        <f t="shared" si="41"/>
        <v>36866384.893907629</v>
      </c>
      <c r="N57" s="1292"/>
      <c r="O57" s="1473">
        <f t="shared" si="40"/>
        <v>0.19650000000000001</v>
      </c>
      <c r="P57" s="1307">
        <f t="shared" si="42"/>
        <v>7244244.6316528497</v>
      </c>
      <c r="Q57" s="1306">
        <f t="shared" si="43"/>
        <v>2029</v>
      </c>
      <c r="T57" s="1364"/>
      <c r="AV57" s="1394"/>
    </row>
    <row r="58" spans="12:48" x14ac:dyDescent="0.3">
      <c r="M58" s="1275">
        <f t="shared" si="41"/>
        <v>44110629.525560476</v>
      </c>
      <c r="N58" s="1292"/>
      <c r="O58" s="1473">
        <f t="shared" si="40"/>
        <v>0.19650000000000001</v>
      </c>
      <c r="P58" s="1307">
        <f t="shared" si="42"/>
        <v>8667738.7017726339</v>
      </c>
      <c r="Q58" s="1306">
        <f t="shared" si="43"/>
        <v>2030</v>
      </c>
      <c r="T58" s="1364"/>
      <c r="AV58" s="1362"/>
    </row>
    <row r="59" spans="12:48" x14ac:dyDescent="0.3">
      <c r="M59" s="1275">
        <f t="shared" si="41"/>
        <v>52778368.227333114</v>
      </c>
      <c r="N59" s="1292"/>
      <c r="O59" s="1473">
        <f t="shared" si="40"/>
        <v>0.19650000000000001</v>
      </c>
      <c r="P59" s="1307">
        <f t="shared" si="42"/>
        <v>10370949.356670957</v>
      </c>
      <c r="Q59" s="1306">
        <f t="shared" si="43"/>
        <v>2031</v>
      </c>
      <c r="T59" s="1364"/>
      <c r="AV59" s="1394"/>
    </row>
    <row r="60" spans="12:48" x14ac:dyDescent="0.3">
      <c r="M60" s="1275">
        <f t="shared" si="41"/>
        <v>63149317.584004074</v>
      </c>
      <c r="N60" s="1292"/>
      <c r="O60" s="1473">
        <f t="shared" si="40"/>
        <v>0.19650000000000001</v>
      </c>
      <c r="P60" s="1307">
        <f t="shared" si="42"/>
        <v>12408840.9052568</v>
      </c>
      <c r="Q60" s="1306">
        <f t="shared" si="43"/>
        <v>2032</v>
      </c>
      <c r="T60" s="1364"/>
      <c r="AV60" s="1477"/>
    </row>
    <row r="61" spans="12:48" x14ac:dyDescent="0.3">
      <c r="M61" s="1275">
        <f t="shared" si="41"/>
        <v>75558158.489260882</v>
      </c>
      <c r="N61" s="1292"/>
      <c r="O61" s="1473">
        <f t="shared" si="40"/>
        <v>0.19650000000000001</v>
      </c>
      <c r="P61" s="1307">
        <f t="shared" si="42"/>
        <v>14847178.143139765</v>
      </c>
      <c r="Q61" s="1306">
        <f t="shared" si="43"/>
        <v>2033</v>
      </c>
      <c r="T61" s="1364"/>
    </row>
    <row r="62" spans="12:48" x14ac:dyDescent="0.3">
      <c r="M62" s="1275">
        <f t="shared" si="41"/>
        <v>90405336.632400647</v>
      </c>
      <c r="N62" s="1292"/>
      <c r="O62" s="1473">
        <f t="shared" si="40"/>
        <v>0.19650000000000001</v>
      </c>
      <c r="P62" s="1307">
        <f t="shared" si="42"/>
        <v>17764648.648266729</v>
      </c>
      <c r="Q62" s="1306">
        <f t="shared" si="43"/>
        <v>2034</v>
      </c>
      <c r="T62" s="1364"/>
    </row>
    <row r="63" spans="12:48" x14ac:dyDescent="0.3">
      <c r="M63" s="1275">
        <f t="shared" si="41"/>
        <v>108169985.28066738</v>
      </c>
      <c r="N63" s="1292"/>
      <c r="O63" s="1473">
        <f t="shared" si="40"/>
        <v>0.19650000000000001</v>
      </c>
      <c r="P63" s="1307">
        <f t="shared" si="42"/>
        <v>21255402.107651141</v>
      </c>
      <c r="Q63" s="1306">
        <f t="shared" si="43"/>
        <v>2035</v>
      </c>
      <c r="T63" s="1364"/>
    </row>
    <row r="64" spans="12:48" x14ac:dyDescent="0.3">
      <c r="M64" s="1275">
        <f t="shared" si="41"/>
        <v>129425387.38831852</v>
      </c>
      <c r="N64" s="1292"/>
      <c r="O64" s="1473">
        <f t="shared" si="40"/>
        <v>0.19650000000000001</v>
      </c>
      <c r="P64" s="1307">
        <f t="shared" si="42"/>
        <v>25432088.621804591</v>
      </c>
      <c r="Q64" s="1306">
        <f t="shared" si="43"/>
        <v>2036</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EBA9-DE38-4986-85A2-C741A9D47C95}">
  <dimension ref="A1:CB157"/>
  <sheetViews>
    <sheetView workbookViewId="0">
      <selection activeCell="L79" sqref="L79"/>
    </sheetView>
  </sheetViews>
  <sheetFormatPr defaultColWidth="8.88671875" defaultRowHeight="15.6" x14ac:dyDescent="0.3"/>
  <cols>
    <col min="1" max="1" width="8.88671875" style="1"/>
    <col min="2" max="2" width="3.33203125" style="71" customWidth="1"/>
    <col min="3" max="3" width="22.109375" style="227" customWidth="1"/>
    <col min="4" max="7" width="13.44140625" style="12" bestFit="1" customWidth="1"/>
    <col min="8" max="10" width="15.109375" style="12" bestFit="1" customWidth="1"/>
    <col min="11" max="11" width="12.33203125" style="247" bestFit="1" customWidth="1"/>
    <col min="12" max="18" width="8" style="12" customWidth="1"/>
    <col min="19" max="19" width="7.33203125" style="247" customWidth="1"/>
    <col min="20" max="26" width="7.33203125" style="12" customWidth="1"/>
    <col min="27" max="27" width="7.33203125" style="247" customWidth="1"/>
    <col min="28" max="33" width="8.33203125" style="12" customWidth="1"/>
    <col min="34" max="34" width="8.33203125" style="1" customWidth="1"/>
    <col min="35" max="35" width="9.44140625" style="34" customWidth="1"/>
    <col min="36" max="36" width="9.44140625" style="88" customWidth="1"/>
    <col min="37" max="42" width="9.44140625" style="1" customWidth="1"/>
    <col min="43" max="43" width="10.109375" style="250" customWidth="1"/>
    <col min="44" max="50" width="10.109375" style="1" customWidth="1"/>
    <col min="51" max="51" width="10.109375" style="250" customWidth="1"/>
    <col min="52" max="57" width="11.6640625" style="1" customWidth="1"/>
    <col min="58" max="58" width="24.21875" style="1" bestFit="1" customWidth="1"/>
    <col min="59" max="59" width="24.21875" style="250" bestFit="1" customWidth="1"/>
    <col min="60" max="61" width="24.21875" style="1" bestFit="1" customWidth="1"/>
    <col min="62" max="66" width="25.44140625" style="1" bestFit="1" customWidth="1"/>
    <col min="67" max="67" width="25.44140625" style="250" bestFit="1" customWidth="1"/>
    <col min="68" max="68" width="30" style="42" bestFit="1" customWidth="1"/>
    <col min="69" max="69" width="27.6640625" style="1" customWidth="1"/>
    <col min="70" max="70" width="32.33203125" style="1" bestFit="1" customWidth="1"/>
    <col min="71" max="71" width="8.6640625" style="1" hidden="1" customWidth="1"/>
    <col min="72" max="73" width="14.6640625" style="1" hidden="1" customWidth="1"/>
    <col min="74" max="74" width="30.6640625" style="1" bestFit="1" customWidth="1"/>
    <col min="75" max="75" width="101.88671875" style="250" customWidth="1"/>
    <col min="76" max="77" width="8.88671875" style="1"/>
    <col min="78" max="78" width="28.33203125" style="1" bestFit="1" customWidth="1"/>
    <col min="79" max="79" width="8.88671875" style="1"/>
    <col min="80" max="80" width="25.44140625" style="1" bestFit="1" customWidth="1"/>
    <col min="81" max="16384" width="8.88671875" style="1"/>
  </cols>
  <sheetData>
    <row r="1" spans="1:80" ht="13.95" customHeight="1" x14ac:dyDescent="0.3">
      <c r="A1" s="938"/>
      <c r="B1" s="1177"/>
      <c r="C1" s="1178"/>
      <c r="D1" s="947"/>
      <c r="E1" s="947"/>
      <c r="F1" s="947"/>
      <c r="G1" s="947"/>
      <c r="H1" s="947"/>
      <c r="I1" s="947"/>
      <c r="J1" s="947"/>
      <c r="K1" s="1179"/>
      <c r="L1" s="947"/>
      <c r="M1" s="947"/>
      <c r="N1" s="947"/>
      <c r="O1" s="947"/>
      <c r="P1" s="947"/>
      <c r="Q1" s="947"/>
      <c r="R1" s="947"/>
      <c r="S1" s="1179"/>
      <c r="T1" s="947"/>
      <c r="U1" s="947"/>
      <c r="V1" s="947"/>
      <c r="W1" s="947"/>
      <c r="X1" s="947"/>
      <c r="Y1" s="947"/>
      <c r="Z1" s="947"/>
      <c r="AA1" s="1179"/>
      <c r="AB1" s="947"/>
      <c r="AC1" s="947"/>
      <c r="AD1" s="947"/>
      <c r="AE1" s="947"/>
      <c r="AF1" s="947"/>
      <c r="AG1" s="947"/>
      <c r="AH1" s="938"/>
      <c r="AI1" s="1180"/>
      <c r="AJ1" s="942"/>
      <c r="AK1" s="938"/>
      <c r="AL1" s="938"/>
      <c r="AM1" s="938"/>
      <c r="AN1" s="938"/>
      <c r="AO1" s="938"/>
      <c r="AP1" s="938"/>
      <c r="AQ1" s="1181"/>
      <c r="AR1" s="938"/>
      <c r="AS1" s="938"/>
      <c r="AT1" s="938"/>
      <c r="AU1" s="938"/>
      <c r="AV1" s="938"/>
      <c r="AW1" s="938"/>
      <c r="AX1" s="938"/>
      <c r="AY1" s="1181"/>
      <c r="AZ1" s="938"/>
      <c r="BA1" s="938"/>
      <c r="BB1" s="938"/>
      <c r="BC1" s="938"/>
      <c r="BD1" s="938"/>
      <c r="BE1" s="938"/>
      <c r="BF1" s="938"/>
      <c r="BG1" s="1181"/>
      <c r="BH1" s="938"/>
      <c r="BI1" s="938"/>
      <c r="BJ1" s="1182"/>
      <c r="BK1" s="1182"/>
      <c r="BL1" s="938"/>
      <c r="BM1" s="938"/>
      <c r="BN1" s="938"/>
      <c r="BO1" s="1181"/>
    </row>
    <row r="2" spans="1:80" ht="24.6" x14ac:dyDescent="0.55000000000000004">
      <c r="A2" s="938"/>
      <c r="B2" s="1177"/>
      <c r="C2" s="1183" t="s">
        <v>663</v>
      </c>
      <c r="D2" s="947"/>
      <c r="E2" s="947"/>
      <c r="F2" s="947"/>
      <c r="G2" s="947"/>
      <c r="H2" s="947"/>
      <c r="I2" s="947"/>
      <c r="J2" s="938"/>
      <c r="K2" s="1181"/>
      <c r="L2" s="947"/>
      <c r="M2" s="947"/>
      <c r="N2" s="947"/>
      <c r="O2" s="947"/>
      <c r="P2" s="947"/>
      <c r="Q2" s="947"/>
      <c r="R2" s="947"/>
      <c r="S2" s="1179"/>
      <c r="T2" s="947"/>
      <c r="U2" s="1031"/>
      <c r="V2" s="947"/>
      <c r="W2" s="947"/>
      <c r="X2" s="947"/>
      <c r="Y2" s="947"/>
      <c r="Z2" s="947"/>
      <c r="AA2" s="1179"/>
      <c r="AB2" s="947"/>
      <c r="AC2" s="947"/>
      <c r="AD2" s="947"/>
      <c r="AE2" s="947"/>
      <c r="AF2" s="947"/>
      <c r="AG2" s="947"/>
      <c r="AH2" s="938"/>
      <c r="AI2" s="1180"/>
      <c r="AJ2" s="942"/>
      <c r="AK2" s="938"/>
      <c r="AL2" s="938"/>
      <c r="AM2" s="938"/>
      <c r="AN2" s="938"/>
      <c r="AO2" s="942"/>
      <c r="AP2" s="938"/>
      <c r="AQ2" s="1181"/>
      <c r="AR2" s="938"/>
      <c r="AS2" s="938"/>
      <c r="AT2" s="938"/>
      <c r="AU2" s="938"/>
      <c r="AV2" s="938"/>
      <c r="AW2" s="938"/>
      <c r="AX2" s="938"/>
      <c r="AY2" s="1181"/>
      <c r="AZ2" s="938"/>
      <c r="BA2" s="938"/>
      <c r="BB2" s="938"/>
      <c r="BC2" s="938"/>
      <c r="BD2" s="938"/>
      <c r="BE2" s="938"/>
      <c r="BF2" s="938"/>
      <c r="BG2" s="1181"/>
      <c r="BH2" s="938"/>
      <c r="BI2" s="938"/>
      <c r="BJ2" s="1182"/>
      <c r="BK2" s="1182"/>
      <c r="BL2" s="938"/>
      <c r="BM2" s="938"/>
      <c r="BN2" s="942"/>
      <c r="BO2" s="1181"/>
      <c r="BP2" s="188"/>
      <c r="BQ2" s="188"/>
      <c r="BR2" s="283" t="s">
        <v>641</v>
      </c>
      <c r="BS2" s="188"/>
      <c r="BT2" s="283"/>
      <c r="BU2" s="283"/>
      <c r="BV2" s="284">
        <f>'[2]POP Dimensions'!C13</f>
        <v>167772.16</v>
      </c>
      <c r="BW2" s="282"/>
    </row>
    <row r="3" spans="1:80" ht="13.95" customHeight="1" x14ac:dyDescent="0.55000000000000004">
      <c r="A3" s="938"/>
      <c r="B3" s="1177"/>
      <c r="C3" s="1183"/>
      <c r="D3" s="947"/>
      <c r="E3" s="947"/>
      <c r="F3" s="947"/>
      <c r="G3" s="947"/>
      <c r="H3" s="947"/>
      <c r="I3" s="947"/>
      <c r="J3" s="938"/>
      <c r="K3" s="1181"/>
      <c r="L3" s="947"/>
      <c r="M3" s="947"/>
      <c r="N3" s="947"/>
      <c r="O3" s="947"/>
      <c r="P3" s="947"/>
      <c r="Q3" s="947"/>
      <c r="R3" s="947"/>
      <c r="S3" s="1179"/>
      <c r="T3" s="947"/>
      <c r="U3" s="1031"/>
      <c r="V3" s="947"/>
      <c r="W3" s="947"/>
      <c r="X3" s="947"/>
      <c r="Y3" s="947"/>
      <c r="Z3" s="947"/>
      <c r="AA3" s="1179"/>
      <c r="AB3" s="947"/>
      <c r="AC3" s="947"/>
      <c r="AD3" s="947"/>
      <c r="AE3" s="947"/>
      <c r="AF3" s="947"/>
      <c r="AG3" s="947"/>
      <c r="AH3" s="938"/>
      <c r="AI3" s="1180"/>
      <c r="AJ3" s="942"/>
      <c r="AK3" s="938"/>
      <c r="AL3" s="938"/>
      <c r="AM3" s="938"/>
      <c r="AN3" s="938"/>
      <c r="AO3" s="942"/>
      <c r="AP3" s="938"/>
      <c r="AQ3" s="1181"/>
      <c r="AR3" s="938"/>
      <c r="AS3" s="938"/>
      <c r="AT3" s="938"/>
      <c r="AU3" s="938"/>
      <c r="AV3" s="938"/>
      <c r="AW3" s="938"/>
      <c r="AX3" s="938"/>
      <c r="AY3" s="1181"/>
      <c r="AZ3" s="938"/>
      <c r="BA3" s="938"/>
      <c r="BB3" s="938"/>
      <c r="BC3" s="938"/>
      <c r="BD3" s="938"/>
      <c r="BE3" s="938"/>
      <c r="BF3" s="938"/>
      <c r="BG3" s="1181"/>
      <c r="BH3" s="938"/>
      <c r="BI3" s="938"/>
      <c r="BJ3" s="1182"/>
      <c r="BK3" s="1182"/>
      <c r="BL3" s="938"/>
      <c r="BM3" s="938"/>
      <c r="BN3" s="942"/>
      <c r="BO3" s="1181"/>
      <c r="BR3" s="281"/>
      <c r="BT3" s="38"/>
      <c r="BU3" s="38"/>
      <c r="BV3" s="693"/>
      <c r="BW3" s="282"/>
    </row>
    <row r="4" spans="1:80" s="75" customFormat="1" ht="13.95" customHeight="1" x14ac:dyDescent="0.3">
      <c r="A4" s="968"/>
      <c r="B4" s="968"/>
      <c r="C4" s="1184"/>
      <c r="D4" s="981">
        <v>2017</v>
      </c>
      <c r="E4" s="981">
        <f>D4+1</f>
        <v>2018</v>
      </c>
      <c r="F4" s="981">
        <f t="shared" ref="F4:U5" si="0">E4+1</f>
        <v>2019</v>
      </c>
      <c r="G4" s="981">
        <f t="shared" si="0"/>
        <v>2020</v>
      </c>
      <c r="H4" s="981">
        <f t="shared" si="0"/>
        <v>2021</v>
      </c>
      <c r="I4" s="981">
        <f t="shared" si="0"/>
        <v>2022</v>
      </c>
      <c r="J4" s="981">
        <f t="shared" si="0"/>
        <v>2023</v>
      </c>
      <c r="K4" s="981">
        <f t="shared" si="0"/>
        <v>2024</v>
      </c>
      <c r="L4" s="981">
        <f t="shared" si="0"/>
        <v>2025</v>
      </c>
      <c r="M4" s="981">
        <f t="shared" si="0"/>
        <v>2026</v>
      </c>
      <c r="N4" s="981">
        <f t="shared" si="0"/>
        <v>2027</v>
      </c>
      <c r="O4" s="981">
        <f t="shared" si="0"/>
        <v>2028</v>
      </c>
      <c r="P4" s="981">
        <f t="shared" si="0"/>
        <v>2029</v>
      </c>
      <c r="Q4" s="981">
        <f t="shared" si="0"/>
        <v>2030</v>
      </c>
      <c r="R4" s="981">
        <f t="shared" si="0"/>
        <v>2031</v>
      </c>
      <c r="S4" s="981">
        <f t="shared" si="0"/>
        <v>2032</v>
      </c>
      <c r="T4" s="981">
        <f t="shared" si="0"/>
        <v>2033</v>
      </c>
      <c r="U4" s="981">
        <f t="shared" si="0"/>
        <v>2034</v>
      </c>
      <c r="V4" s="981">
        <f t="shared" ref="V4:AK5" si="1">U4+1</f>
        <v>2035</v>
      </c>
      <c r="W4" s="981">
        <f t="shared" si="1"/>
        <v>2036</v>
      </c>
      <c r="X4" s="981">
        <f t="shared" si="1"/>
        <v>2037</v>
      </c>
      <c r="Y4" s="981">
        <f t="shared" si="1"/>
        <v>2038</v>
      </c>
      <c r="Z4" s="981">
        <f t="shared" si="1"/>
        <v>2039</v>
      </c>
      <c r="AA4" s="981">
        <f t="shared" si="1"/>
        <v>2040</v>
      </c>
      <c r="AB4" s="981">
        <f t="shared" si="1"/>
        <v>2041</v>
      </c>
      <c r="AC4" s="981">
        <f t="shared" si="1"/>
        <v>2042</v>
      </c>
      <c r="AD4" s="981">
        <f t="shared" si="1"/>
        <v>2043</v>
      </c>
      <c r="AE4" s="981">
        <f t="shared" si="1"/>
        <v>2044</v>
      </c>
      <c r="AF4" s="981">
        <f t="shared" si="1"/>
        <v>2045</v>
      </c>
      <c r="AG4" s="981">
        <f t="shared" si="1"/>
        <v>2046</v>
      </c>
      <c r="AH4" s="981">
        <f t="shared" si="1"/>
        <v>2047</v>
      </c>
      <c r="AI4" s="981">
        <f t="shared" si="1"/>
        <v>2048</v>
      </c>
      <c r="AJ4" s="981">
        <f t="shared" si="1"/>
        <v>2049</v>
      </c>
      <c r="AK4" s="981">
        <f t="shared" si="1"/>
        <v>2050</v>
      </c>
      <c r="AL4" s="981">
        <f t="shared" ref="AL4:BA5" si="2">AK4+1</f>
        <v>2051</v>
      </c>
      <c r="AM4" s="981">
        <f t="shared" si="2"/>
        <v>2052</v>
      </c>
      <c r="AN4" s="981">
        <f t="shared" si="2"/>
        <v>2053</v>
      </c>
      <c r="AO4" s="981">
        <f t="shared" si="2"/>
        <v>2054</v>
      </c>
      <c r="AP4" s="981">
        <f t="shared" si="2"/>
        <v>2055</v>
      </c>
      <c r="AQ4" s="981">
        <f t="shared" si="2"/>
        <v>2056</v>
      </c>
      <c r="AR4" s="981">
        <f t="shared" si="2"/>
        <v>2057</v>
      </c>
      <c r="AS4" s="981">
        <f t="shared" si="2"/>
        <v>2058</v>
      </c>
      <c r="AT4" s="981">
        <f t="shared" si="2"/>
        <v>2059</v>
      </c>
      <c r="AU4" s="981">
        <f t="shared" si="2"/>
        <v>2060</v>
      </c>
      <c r="AV4" s="981">
        <f t="shared" si="2"/>
        <v>2061</v>
      </c>
      <c r="AW4" s="981">
        <f t="shared" si="2"/>
        <v>2062</v>
      </c>
      <c r="AX4" s="981">
        <f t="shared" si="2"/>
        <v>2063</v>
      </c>
      <c r="AY4" s="981">
        <f t="shared" si="2"/>
        <v>2064</v>
      </c>
      <c r="AZ4" s="981">
        <f t="shared" si="2"/>
        <v>2065</v>
      </c>
      <c r="BA4" s="981">
        <f t="shared" si="2"/>
        <v>2066</v>
      </c>
      <c r="BB4" s="981">
        <f t="shared" ref="BB4:BO5" si="3">BA4+1</f>
        <v>2067</v>
      </c>
      <c r="BC4" s="981">
        <f t="shared" si="3"/>
        <v>2068</v>
      </c>
      <c r="BD4" s="981">
        <f t="shared" si="3"/>
        <v>2069</v>
      </c>
      <c r="BE4" s="981">
        <f t="shared" si="3"/>
        <v>2070</v>
      </c>
      <c r="BF4" s="981">
        <f t="shared" si="3"/>
        <v>2071</v>
      </c>
      <c r="BG4" s="981">
        <f t="shared" si="3"/>
        <v>2072</v>
      </c>
      <c r="BH4" s="981">
        <f t="shared" si="3"/>
        <v>2073</v>
      </c>
      <c r="BI4" s="981">
        <f t="shared" si="3"/>
        <v>2074</v>
      </c>
      <c r="BJ4" s="1185">
        <f t="shared" si="3"/>
        <v>2075</v>
      </c>
      <c r="BK4" s="1185">
        <f t="shared" si="3"/>
        <v>2076</v>
      </c>
      <c r="BL4" s="981">
        <f t="shared" si="3"/>
        <v>2077</v>
      </c>
      <c r="BM4" s="981">
        <f t="shared" si="3"/>
        <v>2078</v>
      </c>
      <c r="BN4" s="981">
        <f t="shared" si="3"/>
        <v>2079</v>
      </c>
      <c r="BO4" s="981">
        <f t="shared" si="3"/>
        <v>2080</v>
      </c>
      <c r="BW4" s="305"/>
      <c r="BX4" s="76"/>
      <c r="BY4" s="76"/>
      <c r="BZ4" s="76"/>
      <c r="CA4" s="76"/>
      <c r="CB4" s="76"/>
    </row>
    <row r="5" spans="1:80" s="304" customFormat="1" ht="13.95" customHeight="1" x14ac:dyDescent="0.3">
      <c r="A5" s="981"/>
      <c r="B5" s="981"/>
      <c r="C5" s="1184" t="s">
        <v>642</v>
      </c>
      <c r="D5" s="981">
        <v>1</v>
      </c>
      <c r="E5" s="981">
        <f>D5+1</f>
        <v>2</v>
      </c>
      <c r="F5" s="981">
        <f t="shared" si="0"/>
        <v>3</v>
      </c>
      <c r="G5" s="981">
        <f t="shared" si="0"/>
        <v>4</v>
      </c>
      <c r="H5" s="981">
        <f t="shared" si="0"/>
        <v>5</v>
      </c>
      <c r="I5" s="981">
        <f t="shared" si="0"/>
        <v>6</v>
      </c>
      <c r="J5" s="981">
        <f t="shared" si="0"/>
        <v>7</v>
      </c>
      <c r="K5" s="981">
        <f t="shared" si="0"/>
        <v>8</v>
      </c>
      <c r="L5" s="981">
        <f t="shared" si="0"/>
        <v>9</v>
      </c>
      <c r="M5" s="981">
        <f t="shared" si="0"/>
        <v>10</v>
      </c>
      <c r="N5" s="981">
        <f t="shared" si="0"/>
        <v>11</v>
      </c>
      <c r="O5" s="981">
        <f t="shared" si="0"/>
        <v>12</v>
      </c>
      <c r="P5" s="981">
        <f t="shared" si="0"/>
        <v>13</v>
      </c>
      <c r="Q5" s="981">
        <f t="shared" si="0"/>
        <v>14</v>
      </c>
      <c r="R5" s="981">
        <f t="shared" si="0"/>
        <v>15</v>
      </c>
      <c r="S5" s="981">
        <f t="shared" si="0"/>
        <v>16</v>
      </c>
      <c r="T5" s="981">
        <f t="shared" si="0"/>
        <v>17</v>
      </c>
      <c r="U5" s="981">
        <f t="shared" si="0"/>
        <v>18</v>
      </c>
      <c r="V5" s="981">
        <f t="shared" si="1"/>
        <v>19</v>
      </c>
      <c r="W5" s="981">
        <f t="shared" si="1"/>
        <v>20</v>
      </c>
      <c r="X5" s="981">
        <f t="shared" si="1"/>
        <v>21</v>
      </c>
      <c r="Y5" s="981">
        <f t="shared" si="1"/>
        <v>22</v>
      </c>
      <c r="Z5" s="981">
        <f t="shared" si="1"/>
        <v>23</v>
      </c>
      <c r="AA5" s="981">
        <f t="shared" si="1"/>
        <v>24</v>
      </c>
      <c r="AB5" s="981">
        <f t="shared" si="1"/>
        <v>25</v>
      </c>
      <c r="AC5" s="981">
        <f t="shared" si="1"/>
        <v>26</v>
      </c>
      <c r="AD5" s="981">
        <f t="shared" si="1"/>
        <v>27</v>
      </c>
      <c r="AE5" s="981">
        <f t="shared" si="1"/>
        <v>28</v>
      </c>
      <c r="AF5" s="981">
        <f t="shared" si="1"/>
        <v>29</v>
      </c>
      <c r="AG5" s="981">
        <f t="shared" si="1"/>
        <v>30</v>
      </c>
      <c r="AH5" s="981">
        <f t="shared" si="1"/>
        <v>31</v>
      </c>
      <c r="AI5" s="981">
        <f t="shared" si="1"/>
        <v>32</v>
      </c>
      <c r="AJ5" s="981">
        <f t="shared" si="1"/>
        <v>33</v>
      </c>
      <c r="AK5" s="981">
        <f t="shared" si="1"/>
        <v>34</v>
      </c>
      <c r="AL5" s="981">
        <f t="shared" si="2"/>
        <v>35</v>
      </c>
      <c r="AM5" s="981">
        <f t="shared" si="2"/>
        <v>36</v>
      </c>
      <c r="AN5" s="981">
        <f t="shared" si="2"/>
        <v>37</v>
      </c>
      <c r="AO5" s="981">
        <f t="shared" si="2"/>
        <v>38</v>
      </c>
      <c r="AP5" s="981">
        <f t="shared" si="2"/>
        <v>39</v>
      </c>
      <c r="AQ5" s="981">
        <f t="shared" si="2"/>
        <v>40</v>
      </c>
      <c r="AR5" s="981">
        <f t="shared" si="2"/>
        <v>41</v>
      </c>
      <c r="AS5" s="981">
        <f t="shared" si="2"/>
        <v>42</v>
      </c>
      <c r="AT5" s="981">
        <f t="shared" si="2"/>
        <v>43</v>
      </c>
      <c r="AU5" s="981">
        <f t="shared" si="2"/>
        <v>44</v>
      </c>
      <c r="AV5" s="981">
        <f t="shared" si="2"/>
        <v>45</v>
      </c>
      <c r="AW5" s="981">
        <f t="shared" si="2"/>
        <v>46</v>
      </c>
      <c r="AX5" s="981">
        <f t="shared" si="2"/>
        <v>47</v>
      </c>
      <c r="AY5" s="981">
        <f t="shared" si="2"/>
        <v>48</v>
      </c>
      <c r="AZ5" s="981">
        <f t="shared" si="2"/>
        <v>49</v>
      </c>
      <c r="BA5" s="981">
        <f t="shared" si="2"/>
        <v>50</v>
      </c>
      <c r="BB5" s="981">
        <f t="shared" si="3"/>
        <v>51</v>
      </c>
      <c r="BC5" s="981">
        <f t="shared" si="3"/>
        <v>52</v>
      </c>
      <c r="BD5" s="981">
        <f t="shared" si="3"/>
        <v>53</v>
      </c>
      <c r="BE5" s="981">
        <f t="shared" si="3"/>
        <v>54</v>
      </c>
      <c r="BF5" s="981">
        <f t="shared" si="3"/>
        <v>55</v>
      </c>
      <c r="BG5" s="981">
        <f t="shared" si="3"/>
        <v>56</v>
      </c>
      <c r="BH5" s="981">
        <f t="shared" si="3"/>
        <v>57</v>
      </c>
      <c r="BI5" s="981">
        <f t="shared" si="3"/>
        <v>58</v>
      </c>
      <c r="BJ5" s="1185">
        <f t="shared" si="3"/>
        <v>59</v>
      </c>
      <c r="BK5" s="1185">
        <f t="shared" si="3"/>
        <v>60</v>
      </c>
      <c r="BL5" s="981">
        <f t="shared" si="3"/>
        <v>61</v>
      </c>
      <c r="BM5" s="981">
        <f t="shared" si="3"/>
        <v>62</v>
      </c>
      <c r="BN5" s="981">
        <f t="shared" si="3"/>
        <v>63</v>
      </c>
      <c r="BO5" s="981">
        <f t="shared" si="3"/>
        <v>64</v>
      </c>
      <c r="BW5" s="305"/>
      <c r="BX5" s="77"/>
      <c r="BY5" s="77" t="s">
        <v>33</v>
      </c>
      <c r="BZ5" s="77" t="s">
        <v>667</v>
      </c>
      <c r="CA5" s="333">
        <f>BQ85</f>
        <v>0.03</v>
      </c>
      <c r="CB5" s="77"/>
    </row>
    <row r="6" spans="1:80" s="12" customFormat="1" ht="21" x14ac:dyDescent="0.4">
      <c r="A6" s="947"/>
      <c r="B6" s="1186"/>
      <c r="C6" s="1178"/>
      <c r="D6" s="947"/>
      <c r="E6" s="947"/>
      <c r="F6" s="947"/>
      <c r="G6" s="947"/>
      <c r="H6" s="947"/>
      <c r="I6" s="947"/>
      <c r="J6" s="947"/>
      <c r="K6" s="1179"/>
      <c r="L6" s="947"/>
      <c r="M6" s="947"/>
      <c r="N6" s="947"/>
      <c r="O6" s="947"/>
      <c r="P6" s="947"/>
      <c r="Q6" s="947"/>
      <c r="R6" s="947"/>
      <c r="S6" s="1179"/>
      <c r="T6" s="947"/>
      <c r="U6" s="947"/>
      <c r="V6" s="947"/>
      <c r="W6" s="947"/>
      <c r="X6" s="947"/>
      <c r="Y6" s="947"/>
      <c r="Z6" s="947"/>
      <c r="AA6" s="1179"/>
      <c r="AB6" s="947"/>
      <c r="AC6" s="947"/>
      <c r="AD6" s="947"/>
      <c r="AE6" s="947"/>
      <c r="AF6" s="947"/>
      <c r="AG6" s="947"/>
      <c r="AH6" s="947"/>
      <c r="AI6" s="1187"/>
      <c r="AJ6" s="1188"/>
      <c r="AK6" s="947"/>
      <c r="AL6" s="947"/>
      <c r="AM6" s="947"/>
      <c r="AN6" s="947"/>
      <c r="AO6" s="947"/>
      <c r="AP6" s="947"/>
      <c r="AQ6" s="1179"/>
      <c r="AR6" s="947"/>
      <c r="AS6" s="947"/>
      <c r="AT6" s="947"/>
      <c r="AU6" s="947"/>
      <c r="AV6" s="947"/>
      <c r="AW6" s="947"/>
      <c r="AX6" s="947"/>
      <c r="AY6" s="1179"/>
      <c r="AZ6" s="947"/>
      <c r="BA6" s="947"/>
      <c r="BB6" s="947"/>
      <c r="BC6" s="947"/>
      <c r="BD6" s="947"/>
      <c r="BE6" s="947"/>
      <c r="BF6" s="947"/>
      <c r="BG6" s="1179"/>
      <c r="BH6" s="947"/>
      <c r="BI6" s="947"/>
      <c r="BJ6" s="1185"/>
      <c r="BK6" s="1185"/>
      <c r="BL6" s="947"/>
      <c r="BM6" s="947"/>
      <c r="BN6" s="947"/>
      <c r="BO6" s="1179"/>
      <c r="BP6" s="285" t="s">
        <v>643</v>
      </c>
      <c r="BQ6" s="286" t="s">
        <v>665</v>
      </c>
      <c r="BR6" s="286" t="s">
        <v>278</v>
      </c>
      <c r="BW6" s="282"/>
      <c r="BX6" s="77"/>
      <c r="BY6" s="12">
        <v>2016</v>
      </c>
      <c r="BZ6" s="693">
        <v>75543543000000</v>
      </c>
      <c r="CA6" s="19">
        <f>CA5</f>
        <v>0.03</v>
      </c>
      <c r="CB6" s="693">
        <f>BZ6*CA6</f>
        <v>2266306290000</v>
      </c>
    </row>
    <row r="7" spans="1:80" ht="13.95" customHeight="1" x14ac:dyDescent="0.3">
      <c r="A7" s="938"/>
      <c r="B7" s="1177"/>
      <c r="C7" s="1178" t="s">
        <v>644</v>
      </c>
      <c r="D7" s="947" t="s">
        <v>645</v>
      </c>
      <c r="E7" s="947" t="s">
        <v>646</v>
      </c>
      <c r="F7" s="947" t="s">
        <v>647</v>
      </c>
      <c r="G7" s="947" t="s">
        <v>647</v>
      </c>
      <c r="H7" s="947" t="s">
        <v>647</v>
      </c>
      <c r="I7" s="947" t="s">
        <v>647</v>
      </c>
      <c r="J7" s="947" t="s">
        <v>647</v>
      </c>
      <c r="K7" s="1179" t="s">
        <v>647</v>
      </c>
      <c r="L7" s="947" t="s">
        <v>647</v>
      </c>
      <c r="M7" s="947" t="s">
        <v>647</v>
      </c>
      <c r="N7" s="947" t="s">
        <v>647</v>
      </c>
      <c r="O7" s="947" t="s">
        <v>647</v>
      </c>
      <c r="P7" s="947" t="s">
        <v>647</v>
      </c>
      <c r="Q7" s="947" t="s">
        <v>647</v>
      </c>
      <c r="R7" s="947" t="s">
        <v>647</v>
      </c>
      <c r="S7" s="1179" t="s">
        <v>647</v>
      </c>
      <c r="T7" s="947" t="s">
        <v>647</v>
      </c>
      <c r="U7" s="947" t="s">
        <v>647</v>
      </c>
      <c r="V7" s="947" t="s">
        <v>647</v>
      </c>
      <c r="W7" s="947" t="s">
        <v>647</v>
      </c>
      <c r="X7" s="947" t="s">
        <v>647</v>
      </c>
      <c r="Y7" s="947" t="s">
        <v>647</v>
      </c>
      <c r="Z7" s="947" t="s">
        <v>647</v>
      </c>
      <c r="AA7" s="1179" t="s">
        <v>647</v>
      </c>
      <c r="AB7" s="947" t="s">
        <v>647</v>
      </c>
      <c r="AC7" s="947" t="s">
        <v>647</v>
      </c>
      <c r="AD7" s="947" t="s">
        <v>647</v>
      </c>
      <c r="AE7" s="947" t="s">
        <v>647</v>
      </c>
      <c r="AF7" s="947" t="s">
        <v>647</v>
      </c>
      <c r="AG7" s="947" t="s">
        <v>647</v>
      </c>
      <c r="AH7" s="947" t="s">
        <v>647</v>
      </c>
      <c r="AI7" s="1187" t="s">
        <v>647</v>
      </c>
      <c r="AJ7" s="1188" t="s">
        <v>647</v>
      </c>
      <c r="AK7" s="947" t="s">
        <v>647</v>
      </c>
      <c r="AL7" s="947" t="s">
        <v>647</v>
      </c>
      <c r="AM7" s="947" t="s">
        <v>647</v>
      </c>
      <c r="AN7" s="947" t="s">
        <v>647</v>
      </c>
      <c r="AO7" s="947" t="s">
        <v>647</v>
      </c>
      <c r="AP7" s="947" t="s">
        <v>647</v>
      </c>
      <c r="AQ7" s="1179" t="s">
        <v>647</v>
      </c>
      <c r="AR7" s="947" t="s">
        <v>647</v>
      </c>
      <c r="AS7" s="947" t="s">
        <v>647</v>
      </c>
      <c r="AT7" s="947" t="s">
        <v>647</v>
      </c>
      <c r="AU7" s="947" t="s">
        <v>647</v>
      </c>
      <c r="AV7" s="947" t="s">
        <v>647</v>
      </c>
      <c r="AW7" s="947" t="s">
        <v>647</v>
      </c>
      <c r="AX7" s="947" t="s">
        <v>647</v>
      </c>
      <c r="AY7" s="1179" t="s">
        <v>647</v>
      </c>
      <c r="AZ7" s="947" t="s">
        <v>647</v>
      </c>
      <c r="BA7" s="947" t="s">
        <v>647</v>
      </c>
      <c r="BB7" s="947" t="s">
        <v>647</v>
      </c>
      <c r="BC7" s="947" t="s">
        <v>647</v>
      </c>
      <c r="BD7" s="947" t="s">
        <v>647</v>
      </c>
      <c r="BE7" s="947" t="s">
        <v>647</v>
      </c>
      <c r="BF7" s="947" t="s">
        <v>647</v>
      </c>
      <c r="BG7" s="1179" t="s">
        <v>647</v>
      </c>
      <c r="BH7" s="947" t="s">
        <v>647</v>
      </c>
      <c r="BI7" s="947" t="s">
        <v>647</v>
      </c>
      <c r="BJ7" s="1185" t="s">
        <v>647</v>
      </c>
      <c r="BK7" s="1185" t="s">
        <v>647</v>
      </c>
      <c r="BL7" s="947" t="s">
        <v>647</v>
      </c>
      <c r="BM7" s="947" t="s">
        <v>647</v>
      </c>
      <c r="BN7" s="947" t="s">
        <v>647</v>
      </c>
      <c r="BO7" s="1179" t="s">
        <v>647</v>
      </c>
      <c r="BU7" s="1" t="s">
        <v>648</v>
      </c>
      <c r="BW7" s="282"/>
      <c r="BX7" s="76"/>
      <c r="BY7" s="693">
        <f>BY6+1</f>
        <v>2017</v>
      </c>
      <c r="BZ7" s="690">
        <f>BZ6+CB6</f>
        <v>77809849290000</v>
      </c>
      <c r="CA7" s="19">
        <f t="shared" ref="CA7:CA70" si="4">CA6</f>
        <v>0.03</v>
      </c>
      <c r="CB7" s="693">
        <f>BZ7*CA7</f>
        <v>2334295478700</v>
      </c>
    </row>
    <row r="8" spans="1:80" ht="13.95" customHeight="1" x14ac:dyDescent="0.3">
      <c r="A8" s="938"/>
      <c r="B8" s="1177"/>
      <c r="C8" s="1178"/>
      <c r="D8" s="947">
        <v>0</v>
      </c>
      <c r="E8" s="947">
        <v>0</v>
      </c>
      <c r="F8" s="947">
        <v>2</v>
      </c>
      <c r="G8" s="947">
        <v>2</v>
      </c>
      <c r="H8" s="947">
        <v>2</v>
      </c>
      <c r="I8" s="947">
        <v>2</v>
      </c>
      <c r="J8" s="947">
        <v>2</v>
      </c>
      <c r="K8" s="1179">
        <v>2</v>
      </c>
      <c r="L8" s="947">
        <v>2</v>
      </c>
      <c r="M8" s="947">
        <v>2</v>
      </c>
      <c r="N8" s="947">
        <v>2</v>
      </c>
      <c r="O8" s="947">
        <v>2</v>
      </c>
      <c r="P8" s="947">
        <v>2</v>
      </c>
      <c r="Q8" s="947">
        <v>2</v>
      </c>
      <c r="R8" s="947">
        <v>2</v>
      </c>
      <c r="S8" s="1179">
        <v>2</v>
      </c>
      <c r="T8" s="947">
        <v>2</v>
      </c>
      <c r="U8" s="947">
        <v>2</v>
      </c>
      <c r="V8" s="947">
        <v>2</v>
      </c>
      <c r="W8" s="947">
        <v>2</v>
      </c>
      <c r="X8" s="947">
        <v>2</v>
      </c>
      <c r="Y8" s="947">
        <v>2</v>
      </c>
      <c r="Z8" s="947">
        <v>2</v>
      </c>
      <c r="AA8" s="1179">
        <v>2</v>
      </c>
      <c r="AB8" s="947">
        <v>2</v>
      </c>
      <c r="AC8" s="947">
        <v>2</v>
      </c>
      <c r="AD8" s="947">
        <v>2</v>
      </c>
      <c r="AE8" s="947">
        <v>2</v>
      </c>
      <c r="AF8" s="947">
        <v>2</v>
      </c>
      <c r="AG8" s="947">
        <v>2</v>
      </c>
      <c r="AH8" s="947">
        <v>2</v>
      </c>
      <c r="AI8" s="1187">
        <v>2</v>
      </c>
      <c r="AJ8" s="1188">
        <v>2</v>
      </c>
      <c r="AK8" s="947">
        <v>2</v>
      </c>
      <c r="AL8" s="947">
        <v>2</v>
      </c>
      <c r="AM8" s="947">
        <v>2</v>
      </c>
      <c r="AN8" s="947">
        <v>2</v>
      </c>
      <c r="AO8" s="947">
        <v>2</v>
      </c>
      <c r="AP8" s="947">
        <v>2</v>
      </c>
      <c r="AQ8" s="1179">
        <v>2</v>
      </c>
      <c r="AR8" s="947">
        <v>2</v>
      </c>
      <c r="AS8" s="947">
        <v>2</v>
      </c>
      <c r="AT8" s="947">
        <v>2</v>
      </c>
      <c r="AU8" s="947">
        <v>2</v>
      </c>
      <c r="AV8" s="947">
        <v>2</v>
      </c>
      <c r="AW8" s="947">
        <v>2</v>
      </c>
      <c r="AX8" s="947">
        <v>2</v>
      </c>
      <c r="AY8" s="1179">
        <v>2</v>
      </c>
      <c r="AZ8" s="947">
        <v>2</v>
      </c>
      <c r="BA8" s="947">
        <v>2</v>
      </c>
      <c r="BB8" s="947">
        <v>2</v>
      </c>
      <c r="BC8" s="947">
        <v>2</v>
      </c>
      <c r="BD8" s="947">
        <v>2</v>
      </c>
      <c r="BE8" s="947">
        <v>2</v>
      </c>
      <c r="BF8" s="947">
        <v>2</v>
      </c>
      <c r="BG8" s="1179">
        <v>2</v>
      </c>
      <c r="BH8" s="947">
        <v>2</v>
      </c>
      <c r="BI8" s="947">
        <v>2</v>
      </c>
      <c r="BJ8" s="1185">
        <v>2</v>
      </c>
      <c r="BK8" s="1185">
        <v>2</v>
      </c>
      <c r="BL8" s="947">
        <v>2</v>
      </c>
      <c r="BM8" s="947">
        <v>2</v>
      </c>
      <c r="BN8" s="947">
        <v>2</v>
      </c>
      <c r="BO8" s="1179">
        <v>2</v>
      </c>
      <c r="BP8" s="42">
        <f>SUM(D8:BO8)</f>
        <v>124</v>
      </c>
      <c r="BQ8" s="342">
        <f>BV2</f>
        <v>167772.16</v>
      </c>
      <c r="BR8" s="690">
        <f t="shared" ref="BR8:BR34" si="5">BP8*BQ8</f>
        <v>20803747.84</v>
      </c>
      <c r="BS8" s="81">
        <v>0.5</v>
      </c>
      <c r="BT8" s="690">
        <f>BP8*BQ8*BS8</f>
        <v>10401873.92</v>
      </c>
      <c r="BU8" s="1">
        <f>BP8*BS8</f>
        <v>62</v>
      </c>
      <c r="BW8" s="282"/>
      <c r="BX8" s="76"/>
      <c r="BY8" s="693">
        <f t="shared" ref="BY8:BY70" si="6">BY7+1</f>
        <v>2018</v>
      </c>
      <c r="BZ8" s="690">
        <f t="shared" ref="BZ8:BZ70" si="7">BZ7+CB7</f>
        <v>80144144768700</v>
      </c>
      <c r="CA8" s="19">
        <f t="shared" si="4"/>
        <v>0.03</v>
      </c>
      <c r="CB8" s="693">
        <f t="shared" ref="CB8:CB70" si="8">BZ8*CA8</f>
        <v>2404324343061</v>
      </c>
    </row>
    <row r="9" spans="1:80" ht="13.95" customHeight="1" x14ac:dyDescent="0.3">
      <c r="A9" s="938"/>
      <c r="B9" s="1177"/>
      <c r="C9" s="1178" t="s">
        <v>649</v>
      </c>
      <c r="D9" s="947"/>
      <c r="E9" s="947"/>
      <c r="F9" s="947" t="s">
        <v>645</v>
      </c>
      <c r="G9" s="947" t="s">
        <v>646</v>
      </c>
      <c r="H9" s="947" t="s">
        <v>647</v>
      </c>
      <c r="I9" s="947" t="s">
        <v>647</v>
      </c>
      <c r="J9" s="947" t="s">
        <v>647</v>
      </c>
      <c r="K9" s="1179" t="s">
        <v>647</v>
      </c>
      <c r="L9" s="947" t="s">
        <v>647</v>
      </c>
      <c r="M9" s="947" t="s">
        <v>647</v>
      </c>
      <c r="N9" s="947" t="s">
        <v>647</v>
      </c>
      <c r="O9" s="947" t="s">
        <v>647</v>
      </c>
      <c r="P9" s="947" t="s">
        <v>647</v>
      </c>
      <c r="Q9" s="947" t="s">
        <v>647</v>
      </c>
      <c r="R9" s="947" t="s">
        <v>647</v>
      </c>
      <c r="S9" s="1179" t="s">
        <v>647</v>
      </c>
      <c r="T9" s="947" t="s">
        <v>647</v>
      </c>
      <c r="U9" s="947" t="s">
        <v>647</v>
      </c>
      <c r="V9" s="947" t="s">
        <v>647</v>
      </c>
      <c r="W9" s="947" t="s">
        <v>647</v>
      </c>
      <c r="X9" s="947" t="s">
        <v>647</v>
      </c>
      <c r="Y9" s="947" t="s">
        <v>647</v>
      </c>
      <c r="Z9" s="947" t="s">
        <v>647</v>
      </c>
      <c r="AA9" s="1179" t="s">
        <v>647</v>
      </c>
      <c r="AB9" s="947" t="s">
        <v>647</v>
      </c>
      <c r="AC9" s="947" t="s">
        <v>647</v>
      </c>
      <c r="AD9" s="947" t="s">
        <v>647</v>
      </c>
      <c r="AE9" s="947" t="s">
        <v>647</v>
      </c>
      <c r="AF9" s="947" t="s">
        <v>647</v>
      </c>
      <c r="AG9" s="947" t="s">
        <v>647</v>
      </c>
      <c r="AH9" s="947" t="s">
        <v>647</v>
      </c>
      <c r="AI9" s="1187" t="s">
        <v>647</v>
      </c>
      <c r="AJ9" s="1188" t="s">
        <v>647</v>
      </c>
      <c r="AK9" s="947" t="s">
        <v>647</v>
      </c>
      <c r="AL9" s="947" t="s">
        <v>647</v>
      </c>
      <c r="AM9" s="947" t="s">
        <v>647</v>
      </c>
      <c r="AN9" s="947" t="s">
        <v>647</v>
      </c>
      <c r="AO9" s="947" t="s">
        <v>647</v>
      </c>
      <c r="AP9" s="947" t="s">
        <v>647</v>
      </c>
      <c r="AQ9" s="1179" t="s">
        <v>647</v>
      </c>
      <c r="AR9" s="947" t="s">
        <v>647</v>
      </c>
      <c r="AS9" s="947" t="s">
        <v>647</v>
      </c>
      <c r="AT9" s="947" t="s">
        <v>647</v>
      </c>
      <c r="AU9" s="947" t="s">
        <v>647</v>
      </c>
      <c r="AV9" s="947" t="s">
        <v>647</v>
      </c>
      <c r="AW9" s="947" t="s">
        <v>647</v>
      </c>
      <c r="AX9" s="947" t="s">
        <v>647</v>
      </c>
      <c r="AY9" s="1179" t="s">
        <v>647</v>
      </c>
      <c r="AZ9" s="947" t="s">
        <v>647</v>
      </c>
      <c r="BA9" s="947" t="s">
        <v>647</v>
      </c>
      <c r="BB9" s="947" t="s">
        <v>647</v>
      </c>
      <c r="BC9" s="947" t="s">
        <v>647</v>
      </c>
      <c r="BD9" s="947" t="s">
        <v>647</v>
      </c>
      <c r="BE9" s="947" t="s">
        <v>647</v>
      </c>
      <c r="BF9" s="947" t="s">
        <v>647</v>
      </c>
      <c r="BG9" s="1179" t="s">
        <v>647</v>
      </c>
      <c r="BH9" s="947" t="s">
        <v>647</v>
      </c>
      <c r="BI9" s="947" t="s">
        <v>647</v>
      </c>
      <c r="BJ9" s="1185" t="s">
        <v>647</v>
      </c>
      <c r="BK9" s="1185" t="s">
        <v>647</v>
      </c>
      <c r="BL9" s="947" t="s">
        <v>647</v>
      </c>
      <c r="BM9" s="947" t="s">
        <v>647</v>
      </c>
      <c r="BN9" s="947" t="s">
        <v>647</v>
      </c>
      <c r="BO9" s="1179" t="s">
        <v>647</v>
      </c>
      <c r="BR9" s="690"/>
      <c r="BS9" s="81"/>
      <c r="BW9" s="282"/>
      <c r="BX9" s="76"/>
      <c r="BY9" s="693">
        <f t="shared" si="6"/>
        <v>2019</v>
      </c>
      <c r="BZ9" s="690">
        <f t="shared" si="7"/>
        <v>82548469111761</v>
      </c>
      <c r="CA9" s="19">
        <f t="shared" si="4"/>
        <v>0.03</v>
      </c>
      <c r="CB9" s="693">
        <f t="shared" si="8"/>
        <v>2476454073352.8301</v>
      </c>
    </row>
    <row r="10" spans="1:80" ht="13.95" customHeight="1" x14ac:dyDescent="0.3">
      <c r="A10" s="938"/>
      <c r="B10" s="1177"/>
      <c r="C10" s="1178"/>
      <c r="D10" s="947"/>
      <c r="E10" s="947"/>
      <c r="F10" s="947">
        <v>0</v>
      </c>
      <c r="G10" s="947">
        <v>0</v>
      </c>
      <c r="H10" s="947">
        <f t="shared" ref="H10:BO10" si="9">H8*2</f>
        <v>4</v>
      </c>
      <c r="I10" s="947">
        <f t="shared" si="9"/>
        <v>4</v>
      </c>
      <c r="J10" s="947">
        <f t="shared" si="9"/>
        <v>4</v>
      </c>
      <c r="K10" s="1179">
        <f t="shared" si="9"/>
        <v>4</v>
      </c>
      <c r="L10" s="947">
        <f t="shared" si="9"/>
        <v>4</v>
      </c>
      <c r="M10" s="947">
        <f t="shared" si="9"/>
        <v>4</v>
      </c>
      <c r="N10" s="947">
        <f t="shared" si="9"/>
        <v>4</v>
      </c>
      <c r="O10" s="947">
        <f t="shared" si="9"/>
        <v>4</v>
      </c>
      <c r="P10" s="947">
        <f t="shared" si="9"/>
        <v>4</v>
      </c>
      <c r="Q10" s="947">
        <f t="shared" si="9"/>
        <v>4</v>
      </c>
      <c r="R10" s="947">
        <f t="shared" si="9"/>
        <v>4</v>
      </c>
      <c r="S10" s="1179">
        <f t="shared" si="9"/>
        <v>4</v>
      </c>
      <c r="T10" s="947">
        <f t="shared" si="9"/>
        <v>4</v>
      </c>
      <c r="U10" s="947">
        <f t="shared" si="9"/>
        <v>4</v>
      </c>
      <c r="V10" s="947">
        <f t="shared" si="9"/>
        <v>4</v>
      </c>
      <c r="W10" s="947">
        <f t="shared" si="9"/>
        <v>4</v>
      </c>
      <c r="X10" s="947">
        <f t="shared" si="9"/>
        <v>4</v>
      </c>
      <c r="Y10" s="947">
        <f t="shared" si="9"/>
        <v>4</v>
      </c>
      <c r="Z10" s="947">
        <f t="shared" si="9"/>
        <v>4</v>
      </c>
      <c r="AA10" s="1179">
        <f t="shared" si="9"/>
        <v>4</v>
      </c>
      <c r="AB10" s="947">
        <f t="shared" si="9"/>
        <v>4</v>
      </c>
      <c r="AC10" s="947">
        <f t="shared" si="9"/>
        <v>4</v>
      </c>
      <c r="AD10" s="947">
        <f t="shared" si="9"/>
        <v>4</v>
      </c>
      <c r="AE10" s="947">
        <f t="shared" si="9"/>
        <v>4</v>
      </c>
      <c r="AF10" s="947">
        <f t="shared" si="9"/>
        <v>4</v>
      </c>
      <c r="AG10" s="947">
        <f t="shared" si="9"/>
        <v>4</v>
      </c>
      <c r="AH10" s="947">
        <f t="shared" si="9"/>
        <v>4</v>
      </c>
      <c r="AI10" s="1187">
        <f t="shared" si="9"/>
        <v>4</v>
      </c>
      <c r="AJ10" s="1188">
        <f t="shared" si="9"/>
        <v>4</v>
      </c>
      <c r="AK10" s="947">
        <f t="shared" si="9"/>
        <v>4</v>
      </c>
      <c r="AL10" s="947">
        <f t="shared" si="9"/>
        <v>4</v>
      </c>
      <c r="AM10" s="947">
        <f t="shared" si="9"/>
        <v>4</v>
      </c>
      <c r="AN10" s="947">
        <f t="shared" si="9"/>
        <v>4</v>
      </c>
      <c r="AO10" s="947">
        <f t="shared" si="9"/>
        <v>4</v>
      </c>
      <c r="AP10" s="947">
        <f t="shared" si="9"/>
        <v>4</v>
      </c>
      <c r="AQ10" s="1179">
        <f t="shared" si="9"/>
        <v>4</v>
      </c>
      <c r="AR10" s="947">
        <f t="shared" si="9"/>
        <v>4</v>
      </c>
      <c r="AS10" s="947">
        <f t="shared" si="9"/>
        <v>4</v>
      </c>
      <c r="AT10" s="947">
        <f t="shared" si="9"/>
        <v>4</v>
      </c>
      <c r="AU10" s="947">
        <f t="shared" si="9"/>
        <v>4</v>
      </c>
      <c r="AV10" s="947">
        <f t="shared" si="9"/>
        <v>4</v>
      </c>
      <c r="AW10" s="947">
        <f t="shared" si="9"/>
        <v>4</v>
      </c>
      <c r="AX10" s="947">
        <f t="shared" si="9"/>
        <v>4</v>
      </c>
      <c r="AY10" s="1179">
        <f t="shared" si="9"/>
        <v>4</v>
      </c>
      <c r="AZ10" s="947">
        <f t="shared" si="9"/>
        <v>4</v>
      </c>
      <c r="BA10" s="947">
        <f t="shared" si="9"/>
        <v>4</v>
      </c>
      <c r="BB10" s="947">
        <f t="shared" si="9"/>
        <v>4</v>
      </c>
      <c r="BC10" s="947">
        <f t="shared" si="9"/>
        <v>4</v>
      </c>
      <c r="BD10" s="947">
        <f t="shared" si="9"/>
        <v>4</v>
      </c>
      <c r="BE10" s="947">
        <f t="shared" si="9"/>
        <v>4</v>
      </c>
      <c r="BF10" s="947">
        <f t="shared" si="9"/>
        <v>4</v>
      </c>
      <c r="BG10" s="1179">
        <f t="shared" si="9"/>
        <v>4</v>
      </c>
      <c r="BH10" s="947">
        <f t="shared" si="9"/>
        <v>4</v>
      </c>
      <c r="BI10" s="947">
        <f t="shared" si="9"/>
        <v>4</v>
      </c>
      <c r="BJ10" s="1185">
        <f t="shared" si="9"/>
        <v>4</v>
      </c>
      <c r="BK10" s="1185">
        <f t="shared" si="9"/>
        <v>4</v>
      </c>
      <c r="BL10" s="947">
        <f t="shared" si="9"/>
        <v>4</v>
      </c>
      <c r="BM10" s="947">
        <f t="shared" si="9"/>
        <v>4</v>
      </c>
      <c r="BN10" s="947">
        <f t="shared" si="9"/>
        <v>4</v>
      </c>
      <c r="BO10" s="1179">
        <f t="shared" si="9"/>
        <v>4</v>
      </c>
      <c r="BP10" s="42">
        <f>SUM(D10:BO10)</f>
        <v>240</v>
      </c>
      <c r="BQ10" s="690">
        <f>BQ8</f>
        <v>167772.16</v>
      </c>
      <c r="BR10" s="690">
        <f t="shared" si="5"/>
        <v>40265318.399999999</v>
      </c>
      <c r="BS10" s="80">
        <f>BS8/2</f>
        <v>0.25</v>
      </c>
      <c r="BT10" s="690">
        <f>BP10*BQ10*BS10</f>
        <v>10066329.6</v>
      </c>
      <c r="BU10" s="1">
        <f>BP10*BS10</f>
        <v>60</v>
      </c>
      <c r="BW10" s="282"/>
      <c r="BX10" s="76"/>
      <c r="BY10" s="693">
        <f t="shared" si="6"/>
        <v>2020</v>
      </c>
      <c r="BZ10" s="690">
        <f t="shared" si="7"/>
        <v>85024923185113.828</v>
      </c>
      <c r="CA10" s="19">
        <f t="shared" si="4"/>
        <v>0.03</v>
      </c>
      <c r="CB10" s="693">
        <f t="shared" si="8"/>
        <v>2550747695553.4146</v>
      </c>
    </row>
    <row r="11" spans="1:80" ht="13.95" customHeight="1" x14ac:dyDescent="0.3">
      <c r="A11" s="938"/>
      <c r="B11" s="1177"/>
      <c r="C11" s="1178" t="s">
        <v>650</v>
      </c>
      <c r="D11" s="947"/>
      <c r="E11" s="947"/>
      <c r="F11" s="947"/>
      <c r="G11" s="947"/>
      <c r="H11" s="947" t="s">
        <v>645</v>
      </c>
      <c r="I11" s="947" t="s">
        <v>646</v>
      </c>
      <c r="J11" s="947" t="s">
        <v>647</v>
      </c>
      <c r="K11" s="1179" t="s">
        <v>647</v>
      </c>
      <c r="L11" s="947" t="s">
        <v>647</v>
      </c>
      <c r="M11" s="947" t="s">
        <v>647</v>
      </c>
      <c r="N11" s="947" t="s">
        <v>647</v>
      </c>
      <c r="O11" s="947" t="s">
        <v>647</v>
      </c>
      <c r="P11" s="947" t="s">
        <v>647</v>
      </c>
      <c r="Q11" s="947" t="s">
        <v>647</v>
      </c>
      <c r="R11" s="947" t="s">
        <v>647</v>
      </c>
      <c r="S11" s="1179" t="s">
        <v>647</v>
      </c>
      <c r="T11" s="947" t="s">
        <v>647</v>
      </c>
      <c r="U11" s="947" t="s">
        <v>647</v>
      </c>
      <c r="V11" s="947" t="s">
        <v>647</v>
      </c>
      <c r="W11" s="947" t="s">
        <v>647</v>
      </c>
      <c r="X11" s="947" t="s">
        <v>647</v>
      </c>
      <c r="Y11" s="947" t="s">
        <v>647</v>
      </c>
      <c r="Z11" s="947" t="s">
        <v>647</v>
      </c>
      <c r="AA11" s="1179" t="s">
        <v>647</v>
      </c>
      <c r="AB11" s="947" t="s">
        <v>647</v>
      </c>
      <c r="AC11" s="947" t="s">
        <v>647</v>
      </c>
      <c r="AD11" s="947" t="s">
        <v>647</v>
      </c>
      <c r="AE11" s="947" t="s">
        <v>647</v>
      </c>
      <c r="AF11" s="947" t="s">
        <v>647</v>
      </c>
      <c r="AG11" s="947" t="s">
        <v>647</v>
      </c>
      <c r="AH11" s="947" t="s">
        <v>647</v>
      </c>
      <c r="AI11" s="1187" t="s">
        <v>647</v>
      </c>
      <c r="AJ11" s="1188" t="s">
        <v>647</v>
      </c>
      <c r="AK11" s="947" t="s">
        <v>647</v>
      </c>
      <c r="AL11" s="947" t="s">
        <v>647</v>
      </c>
      <c r="AM11" s="947" t="s">
        <v>647</v>
      </c>
      <c r="AN11" s="947" t="s">
        <v>647</v>
      </c>
      <c r="AO11" s="947" t="s">
        <v>647</v>
      </c>
      <c r="AP11" s="947" t="s">
        <v>647</v>
      </c>
      <c r="AQ11" s="1179" t="s">
        <v>647</v>
      </c>
      <c r="AR11" s="947" t="s">
        <v>647</v>
      </c>
      <c r="AS11" s="947" t="s">
        <v>647</v>
      </c>
      <c r="AT11" s="947" t="s">
        <v>647</v>
      </c>
      <c r="AU11" s="947" t="s">
        <v>647</v>
      </c>
      <c r="AV11" s="947" t="s">
        <v>647</v>
      </c>
      <c r="AW11" s="947" t="s">
        <v>647</v>
      </c>
      <c r="AX11" s="947" t="s">
        <v>647</v>
      </c>
      <c r="AY11" s="1179" t="s">
        <v>647</v>
      </c>
      <c r="AZ11" s="947" t="s">
        <v>647</v>
      </c>
      <c r="BA11" s="947" t="s">
        <v>647</v>
      </c>
      <c r="BB11" s="947" t="s">
        <v>647</v>
      </c>
      <c r="BC11" s="947" t="s">
        <v>647</v>
      </c>
      <c r="BD11" s="947" t="s">
        <v>647</v>
      </c>
      <c r="BE11" s="947" t="s">
        <v>647</v>
      </c>
      <c r="BF11" s="947" t="s">
        <v>647</v>
      </c>
      <c r="BG11" s="1179" t="s">
        <v>647</v>
      </c>
      <c r="BH11" s="947" t="s">
        <v>647</v>
      </c>
      <c r="BI11" s="947" t="s">
        <v>647</v>
      </c>
      <c r="BJ11" s="1185" t="s">
        <v>647</v>
      </c>
      <c r="BK11" s="1185" t="s">
        <v>647</v>
      </c>
      <c r="BL11" s="947" t="s">
        <v>647</v>
      </c>
      <c r="BM11" s="947" t="s">
        <v>647</v>
      </c>
      <c r="BN11" s="947" t="s">
        <v>647</v>
      </c>
      <c r="BO11" s="1179" t="s">
        <v>647</v>
      </c>
      <c r="BR11" s="690"/>
      <c r="BS11" s="81"/>
      <c r="BW11" s="282"/>
      <c r="BX11" s="76"/>
      <c r="BY11" s="693">
        <f t="shared" si="6"/>
        <v>2021</v>
      </c>
      <c r="BZ11" s="690">
        <f t="shared" si="7"/>
        <v>87575670880667.25</v>
      </c>
      <c r="CA11" s="19">
        <f t="shared" si="4"/>
        <v>0.03</v>
      </c>
      <c r="CB11" s="693">
        <f t="shared" si="8"/>
        <v>2627270126420.0176</v>
      </c>
    </row>
    <row r="12" spans="1:80" ht="13.95" customHeight="1" x14ac:dyDescent="0.3">
      <c r="A12" s="938"/>
      <c r="B12" s="1177"/>
      <c r="C12" s="1178"/>
      <c r="D12" s="947"/>
      <c r="E12" s="947"/>
      <c r="F12" s="947"/>
      <c r="G12" s="947"/>
      <c r="H12" s="947">
        <v>0</v>
      </c>
      <c r="I12" s="947">
        <v>0</v>
      </c>
      <c r="J12" s="947">
        <f t="shared" ref="J12:BO12" si="10">J10*2</f>
        <v>8</v>
      </c>
      <c r="K12" s="1179">
        <f t="shared" si="10"/>
        <v>8</v>
      </c>
      <c r="L12" s="947">
        <f t="shared" si="10"/>
        <v>8</v>
      </c>
      <c r="M12" s="947">
        <f t="shared" si="10"/>
        <v>8</v>
      </c>
      <c r="N12" s="947">
        <f t="shared" si="10"/>
        <v>8</v>
      </c>
      <c r="O12" s="947">
        <f t="shared" si="10"/>
        <v>8</v>
      </c>
      <c r="P12" s="947">
        <f t="shared" si="10"/>
        <v>8</v>
      </c>
      <c r="Q12" s="947">
        <f t="shared" si="10"/>
        <v>8</v>
      </c>
      <c r="R12" s="947">
        <f t="shared" si="10"/>
        <v>8</v>
      </c>
      <c r="S12" s="1179">
        <f t="shared" si="10"/>
        <v>8</v>
      </c>
      <c r="T12" s="947">
        <f t="shared" si="10"/>
        <v>8</v>
      </c>
      <c r="U12" s="947">
        <f t="shared" si="10"/>
        <v>8</v>
      </c>
      <c r="V12" s="947">
        <f t="shared" si="10"/>
        <v>8</v>
      </c>
      <c r="W12" s="947">
        <f t="shared" si="10"/>
        <v>8</v>
      </c>
      <c r="X12" s="947">
        <f t="shared" si="10"/>
        <v>8</v>
      </c>
      <c r="Y12" s="947">
        <f t="shared" si="10"/>
        <v>8</v>
      </c>
      <c r="Z12" s="947">
        <f t="shared" si="10"/>
        <v>8</v>
      </c>
      <c r="AA12" s="1179">
        <f t="shared" si="10"/>
        <v>8</v>
      </c>
      <c r="AB12" s="947">
        <f t="shared" si="10"/>
        <v>8</v>
      </c>
      <c r="AC12" s="947">
        <f t="shared" si="10"/>
        <v>8</v>
      </c>
      <c r="AD12" s="947">
        <f t="shared" si="10"/>
        <v>8</v>
      </c>
      <c r="AE12" s="947">
        <f t="shared" si="10"/>
        <v>8</v>
      </c>
      <c r="AF12" s="947">
        <f t="shared" si="10"/>
        <v>8</v>
      </c>
      <c r="AG12" s="947">
        <f t="shared" si="10"/>
        <v>8</v>
      </c>
      <c r="AH12" s="947">
        <f t="shared" si="10"/>
        <v>8</v>
      </c>
      <c r="AI12" s="1187">
        <f t="shared" si="10"/>
        <v>8</v>
      </c>
      <c r="AJ12" s="1188">
        <f t="shared" si="10"/>
        <v>8</v>
      </c>
      <c r="AK12" s="947">
        <f t="shared" si="10"/>
        <v>8</v>
      </c>
      <c r="AL12" s="947">
        <f t="shared" si="10"/>
        <v>8</v>
      </c>
      <c r="AM12" s="947">
        <f t="shared" si="10"/>
        <v>8</v>
      </c>
      <c r="AN12" s="947">
        <f t="shared" si="10"/>
        <v>8</v>
      </c>
      <c r="AO12" s="947">
        <f t="shared" si="10"/>
        <v>8</v>
      </c>
      <c r="AP12" s="947">
        <f t="shared" si="10"/>
        <v>8</v>
      </c>
      <c r="AQ12" s="1179">
        <f t="shared" si="10"/>
        <v>8</v>
      </c>
      <c r="AR12" s="947">
        <f t="shared" si="10"/>
        <v>8</v>
      </c>
      <c r="AS12" s="947">
        <f t="shared" si="10"/>
        <v>8</v>
      </c>
      <c r="AT12" s="947">
        <f t="shared" si="10"/>
        <v>8</v>
      </c>
      <c r="AU12" s="947">
        <f t="shared" si="10"/>
        <v>8</v>
      </c>
      <c r="AV12" s="947">
        <f t="shared" si="10"/>
        <v>8</v>
      </c>
      <c r="AW12" s="947">
        <f t="shared" si="10"/>
        <v>8</v>
      </c>
      <c r="AX12" s="947">
        <f t="shared" si="10"/>
        <v>8</v>
      </c>
      <c r="AY12" s="1179">
        <f t="shared" si="10"/>
        <v>8</v>
      </c>
      <c r="AZ12" s="947">
        <f t="shared" si="10"/>
        <v>8</v>
      </c>
      <c r="BA12" s="947">
        <f t="shared" si="10"/>
        <v>8</v>
      </c>
      <c r="BB12" s="947">
        <f t="shared" si="10"/>
        <v>8</v>
      </c>
      <c r="BC12" s="947">
        <f t="shared" si="10"/>
        <v>8</v>
      </c>
      <c r="BD12" s="947">
        <f t="shared" si="10"/>
        <v>8</v>
      </c>
      <c r="BE12" s="947">
        <f t="shared" si="10"/>
        <v>8</v>
      </c>
      <c r="BF12" s="947">
        <f t="shared" si="10"/>
        <v>8</v>
      </c>
      <c r="BG12" s="1179">
        <f t="shared" si="10"/>
        <v>8</v>
      </c>
      <c r="BH12" s="947">
        <f t="shared" si="10"/>
        <v>8</v>
      </c>
      <c r="BI12" s="947">
        <f t="shared" si="10"/>
        <v>8</v>
      </c>
      <c r="BJ12" s="1185">
        <f t="shared" si="10"/>
        <v>8</v>
      </c>
      <c r="BK12" s="1185">
        <f t="shared" si="10"/>
        <v>8</v>
      </c>
      <c r="BL12" s="947">
        <f t="shared" si="10"/>
        <v>8</v>
      </c>
      <c r="BM12" s="947">
        <f t="shared" si="10"/>
        <v>8</v>
      </c>
      <c r="BN12" s="947">
        <f t="shared" si="10"/>
        <v>8</v>
      </c>
      <c r="BO12" s="1179">
        <f t="shared" si="10"/>
        <v>8</v>
      </c>
      <c r="BP12" s="42">
        <f>SUM(D12:BO12)</f>
        <v>464</v>
      </c>
      <c r="BQ12" s="690">
        <f>BQ8</f>
        <v>167772.16</v>
      </c>
      <c r="BR12" s="690">
        <f t="shared" si="5"/>
        <v>77846282.239999995</v>
      </c>
      <c r="BS12" s="80">
        <f>BS10/2</f>
        <v>0.125</v>
      </c>
      <c r="BT12" s="690">
        <f>BP12*BQ12*BS12</f>
        <v>9730785.2799999993</v>
      </c>
      <c r="BU12" s="1">
        <f>BP12*BS12</f>
        <v>58</v>
      </c>
      <c r="BW12" s="282"/>
      <c r="BX12" s="76"/>
      <c r="BY12" s="693">
        <f t="shared" si="6"/>
        <v>2022</v>
      </c>
      <c r="BZ12" s="690">
        <f t="shared" si="7"/>
        <v>90202941007087.266</v>
      </c>
      <c r="CA12" s="19">
        <f t="shared" si="4"/>
        <v>0.03</v>
      </c>
      <c r="CB12" s="693">
        <f t="shared" si="8"/>
        <v>2706088230212.6177</v>
      </c>
    </row>
    <row r="13" spans="1:80" ht="13.95" customHeight="1" x14ac:dyDescent="0.3">
      <c r="A13" s="938"/>
      <c r="B13" s="1177"/>
      <c r="C13" s="938"/>
      <c r="D13" s="947"/>
      <c r="E13" s="947"/>
      <c r="F13" s="947"/>
      <c r="G13" s="947"/>
      <c r="H13" s="947"/>
      <c r="I13" s="947"/>
      <c r="J13" s="947" t="s">
        <v>645</v>
      </c>
      <c r="K13" s="1179" t="s">
        <v>646</v>
      </c>
      <c r="L13" s="947" t="s">
        <v>647</v>
      </c>
      <c r="M13" s="947" t="s">
        <v>647</v>
      </c>
      <c r="N13" s="947" t="s">
        <v>647</v>
      </c>
      <c r="O13" s="947" t="s">
        <v>647</v>
      </c>
      <c r="P13" s="947" t="s">
        <v>647</v>
      </c>
      <c r="Q13" s="947" t="s">
        <v>647</v>
      </c>
      <c r="R13" s="947" t="s">
        <v>647</v>
      </c>
      <c r="S13" s="1179" t="s">
        <v>647</v>
      </c>
      <c r="T13" s="947" t="s">
        <v>647</v>
      </c>
      <c r="U13" s="947" t="s">
        <v>647</v>
      </c>
      <c r="V13" s="947" t="s">
        <v>647</v>
      </c>
      <c r="W13" s="947" t="s">
        <v>647</v>
      </c>
      <c r="X13" s="947" t="s">
        <v>647</v>
      </c>
      <c r="Y13" s="947" t="s">
        <v>647</v>
      </c>
      <c r="Z13" s="947" t="s">
        <v>647</v>
      </c>
      <c r="AA13" s="1179" t="s">
        <v>647</v>
      </c>
      <c r="AB13" s="947" t="s">
        <v>647</v>
      </c>
      <c r="AC13" s="947" t="s">
        <v>647</v>
      </c>
      <c r="AD13" s="947" t="s">
        <v>647</v>
      </c>
      <c r="AE13" s="947" t="s">
        <v>647</v>
      </c>
      <c r="AF13" s="947" t="s">
        <v>647</v>
      </c>
      <c r="AG13" s="947" t="s">
        <v>647</v>
      </c>
      <c r="AH13" s="947" t="s">
        <v>647</v>
      </c>
      <c r="AI13" s="1187" t="s">
        <v>647</v>
      </c>
      <c r="AJ13" s="1188" t="s">
        <v>647</v>
      </c>
      <c r="AK13" s="947" t="s">
        <v>647</v>
      </c>
      <c r="AL13" s="947" t="s">
        <v>647</v>
      </c>
      <c r="AM13" s="947" t="s">
        <v>647</v>
      </c>
      <c r="AN13" s="947" t="s">
        <v>647</v>
      </c>
      <c r="AO13" s="947" t="s">
        <v>647</v>
      </c>
      <c r="AP13" s="947" t="s">
        <v>647</v>
      </c>
      <c r="AQ13" s="1179" t="s">
        <v>647</v>
      </c>
      <c r="AR13" s="947" t="s">
        <v>647</v>
      </c>
      <c r="AS13" s="947" t="s">
        <v>647</v>
      </c>
      <c r="AT13" s="947" t="s">
        <v>647</v>
      </c>
      <c r="AU13" s="947" t="s">
        <v>647</v>
      </c>
      <c r="AV13" s="947" t="s">
        <v>647</v>
      </c>
      <c r="AW13" s="947" t="s">
        <v>647</v>
      </c>
      <c r="AX13" s="947" t="s">
        <v>647</v>
      </c>
      <c r="AY13" s="1179" t="s">
        <v>647</v>
      </c>
      <c r="AZ13" s="947" t="s">
        <v>647</v>
      </c>
      <c r="BA13" s="947" t="s">
        <v>647</v>
      </c>
      <c r="BB13" s="947" t="s">
        <v>647</v>
      </c>
      <c r="BC13" s="947" t="s">
        <v>647</v>
      </c>
      <c r="BD13" s="947" t="s">
        <v>647</v>
      </c>
      <c r="BE13" s="947" t="s">
        <v>647</v>
      </c>
      <c r="BF13" s="947" t="s">
        <v>647</v>
      </c>
      <c r="BG13" s="1179" t="s">
        <v>647</v>
      </c>
      <c r="BH13" s="947" t="s">
        <v>647</v>
      </c>
      <c r="BI13" s="947" t="s">
        <v>647</v>
      </c>
      <c r="BJ13" s="1185" t="s">
        <v>647</v>
      </c>
      <c r="BK13" s="1185" t="s">
        <v>647</v>
      </c>
      <c r="BL13" s="947" t="s">
        <v>647</v>
      </c>
      <c r="BM13" s="947" t="s">
        <v>647</v>
      </c>
      <c r="BN13" s="947" t="s">
        <v>647</v>
      </c>
      <c r="BO13" s="1179" t="s">
        <v>647</v>
      </c>
      <c r="BR13" s="690"/>
      <c r="BS13" s="81"/>
      <c r="BW13" s="282"/>
      <c r="BX13" s="76"/>
      <c r="BY13" s="693">
        <f t="shared" si="6"/>
        <v>2023</v>
      </c>
      <c r="BZ13" s="690">
        <f t="shared" si="7"/>
        <v>92909029237299.891</v>
      </c>
      <c r="CA13" s="19">
        <f t="shared" si="4"/>
        <v>0.03</v>
      </c>
      <c r="CB13" s="693">
        <f t="shared" si="8"/>
        <v>2787270877118.9966</v>
      </c>
    </row>
    <row r="14" spans="1:80" ht="13.95" customHeight="1" x14ac:dyDescent="0.3">
      <c r="A14" s="938"/>
      <c r="B14" s="1189"/>
      <c r="C14" s="1190"/>
      <c r="D14" s="1191"/>
      <c r="E14" s="1191"/>
      <c r="F14" s="1191"/>
      <c r="G14" s="1192"/>
      <c r="H14" s="947"/>
      <c r="I14" s="947"/>
      <c r="J14" s="947">
        <v>0</v>
      </c>
      <c r="K14" s="1179">
        <v>0</v>
      </c>
      <c r="L14" s="947">
        <f>L12*2</f>
        <v>16</v>
      </c>
      <c r="M14" s="947">
        <f t="shared" ref="M14:BO14" si="11">M12*2</f>
        <v>16</v>
      </c>
      <c r="N14" s="947">
        <f t="shared" si="11"/>
        <v>16</v>
      </c>
      <c r="O14" s="947">
        <f t="shared" si="11"/>
        <v>16</v>
      </c>
      <c r="P14" s="947">
        <f t="shared" si="11"/>
        <v>16</v>
      </c>
      <c r="Q14" s="947">
        <f t="shared" si="11"/>
        <v>16</v>
      </c>
      <c r="R14" s="947">
        <f t="shared" si="11"/>
        <v>16</v>
      </c>
      <c r="S14" s="1179">
        <f t="shared" si="11"/>
        <v>16</v>
      </c>
      <c r="T14" s="947">
        <f t="shared" si="11"/>
        <v>16</v>
      </c>
      <c r="U14" s="947">
        <f t="shared" si="11"/>
        <v>16</v>
      </c>
      <c r="V14" s="947">
        <f t="shared" si="11"/>
        <v>16</v>
      </c>
      <c r="W14" s="947">
        <f t="shared" si="11"/>
        <v>16</v>
      </c>
      <c r="X14" s="947">
        <f t="shared" si="11"/>
        <v>16</v>
      </c>
      <c r="Y14" s="947">
        <f t="shared" si="11"/>
        <v>16</v>
      </c>
      <c r="Z14" s="947">
        <f t="shared" si="11"/>
        <v>16</v>
      </c>
      <c r="AA14" s="1179">
        <f t="shared" si="11"/>
        <v>16</v>
      </c>
      <c r="AB14" s="947">
        <f t="shared" si="11"/>
        <v>16</v>
      </c>
      <c r="AC14" s="947">
        <f t="shared" si="11"/>
        <v>16</v>
      </c>
      <c r="AD14" s="947">
        <f t="shared" si="11"/>
        <v>16</v>
      </c>
      <c r="AE14" s="947">
        <f t="shared" si="11"/>
        <v>16</v>
      </c>
      <c r="AF14" s="947">
        <f t="shared" si="11"/>
        <v>16</v>
      </c>
      <c r="AG14" s="947">
        <f t="shared" si="11"/>
        <v>16</v>
      </c>
      <c r="AH14" s="947">
        <f t="shared" si="11"/>
        <v>16</v>
      </c>
      <c r="AI14" s="1187">
        <f t="shared" si="11"/>
        <v>16</v>
      </c>
      <c r="AJ14" s="1188">
        <f t="shared" si="11"/>
        <v>16</v>
      </c>
      <c r="AK14" s="947">
        <f t="shared" si="11"/>
        <v>16</v>
      </c>
      <c r="AL14" s="947">
        <f t="shared" si="11"/>
        <v>16</v>
      </c>
      <c r="AM14" s="947">
        <f t="shared" si="11"/>
        <v>16</v>
      </c>
      <c r="AN14" s="947">
        <f t="shared" si="11"/>
        <v>16</v>
      </c>
      <c r="AO14" s="947">
        <f t="shared" si="11"/>
        <v>16</v>
      </c>
      <c r="AP14" s="947">
        <f t="shared" si="11"/>
        <v>16</v>
      </c>
      <c r="AQ14" s="1179">
        <f t="shared" si="11"/>
        <v>16</v>
      </c>
      <c r="AR14" s="947">
        <f t="shared" si="11"/>
        <v>16</v>
      </c>
      <c r="AS14" s="947">
        <f t="shared" si="11"/>
        <v>16</v>
      </c>
      <c r="AT14" s="947">
        <f t="shared" si="11"/>
        <v>16</v>
      </c>
      <c r="AU14" s="947">
        <f t="shared" si="11"/>
        <v>16</v>
      </c>
      <c r="AV14" s="947">
        <f t="shared" si="11"/>
        <v>16</v>
      </c>
      <c r="AW14" s="947">
        <f t="shared" si="11"/>
        <v>16</v>
      </c>
      <c r="AX14" s="947">
        <f t="shared" si="11"/>
        <v>16</v>
      </c>
      <c r="AY14" s="1179">
        <f t="shared" si="11"/>
        <v>16</v>
      </c>
      <c r="AZ14" s="947">
        <f t="shared" si="11"/>
        <v>16</v>
      </c>
      <c r="BA14" s="947">
        <f t="shared" si="11"/>
        <v>16</v>
      </c>
      <c r="BB14" s="947">
        <f t="shared" si="11"/>
        <v>16</v>
      </c>
      <c r="BC14" s="947">
        <f t="shared" si="11"/>
        <v>16</v>
      </c>
      <c r="BD14" s="947">
        <f t="shared" si="11"/>
        <v>16</v>
      </c>
      <c r="BE14" s="947">
        <f t="shared" si="11"/>
        <v>16</v>
      </c>
      <c r="BF14" s="947">
        <f t="shared" si="11"/>
        <v>16</v>
      </c>
      <c r="BG14" s="1179">
        <f t="shared" si="11"/>
        <v>16</v>
      </c>
      <c r="BH14" s="947">
        <f t="shared" si="11"/>
        <v>16</v>
      </c>
      <c r="BI14" s="947">
        <f t="shared" si="11"/>
        <v>16</v>
      </c>
      <c r="BJ14" s="1185">
        <f t="shared" si="11"/>
        <v>16</v>
      </c>
      <c r="BK14" s="1185">
        <f t="shared" si="11"/>
        <v>16</v>
      </c>
      <c r="BL14" s="947">
        <f t="shared" si="11"/>
        <v>16</v>
      </c>
      <c r="BM14" s="947">
        <f t="shared" si="11"/>
        <v>16</v>
      </c>
      <c r="BN14" s="947">
        <f t="shared" si="11"/>
        <v>16</v>
      </c>
      <c r="BO14" s="1179">
        <f t="shared" si="11"/>
        <v>16</v>
      </c>
      <c r="BP14" s="42">
        <f>SUM(H14:BO14)</f>
        <v>896</v>
      </c>
      <c r="BQ14" s="690">
        <f>BQ12</f>
        <v>167772.16</v>
      </c>
      <c r="BR14" s="690">
        <f t="shared" si="5"/>
        <v>150323855.36000001</v>
      </c>
      <c r="BS14" s="80">
        <f>BS12/2</f>
        <v>6.25E-2</v>
      </c>
      <c r="BT14" s="690">
        <f>BP14*BQ14*BS14</f>
        <v>9395240.9600000009</v>
      </c>
      <c r="BU14" s="1">
        <f>BP14*BS14</f>
        <v>56</v>
      </c>
      <c r="BW14" s="282"/>
      <c r="BX14" s="76"/>
      <c r="BY14" s="693">
        <f t="shared" si="6"/>
        <v>2024</v>
      </c>
      <c r="BZ14" s="690">
        <f t="shared" si="7"/>
        <v>95696300114418.891</v>
      </c>
      <c r="CA14" s="19">
        <f t="shared" si="4"/>
        <v>0.03</v>
      </c>
      <c r="CB14" s="693">
        <f t="shared" si="8"/>
        <v>2870889003432.5664</v>
      </c>
    </row>
    <row r="15" spans="1:80" ht="21" x14ac:dyDescent="0.4">
      <c r="A15" s="938"/>
      <c r="B15" s="1189"/>
      <c r="C15" s="1193" t="s">
        <v>651</v>
      </c>
      <c r="D15" s="987"/>
      <c r="E15" s="1194" t="s">
        <v>645</v>
      </c>
      <c r="F15" s="987"/>
      <c r="G15" s="1195"/>
      <c r="H15" s="947"/>
      <c r="I15" s="947"/>
      <c r="J15" s="947"/>
      <c r="K15" s="1179"/>
      <c r="L15" s="947" t="s">
        <v>647</v>
      </c>
      <c r="M15" s="947" t="s">
        <v>647</v>
      </c>
      <c r="N15" s="947" t="s">
        <v>647</v>
      </c>
      <c r="O15" s="947" t="s">
        <v>647</v>
      </c>
      <c r="P15" s="947" t="s">
        <v>647</v>
      </c>
      <c r="Q15" s="947" t="s">
        <v>647</v>
      </c>
      <c r="R15" s="947" t="s">
        <v>647</v>
      </c>
      <c r="S15" s="1179" t="s">
        <v>647</v>
      </c>
      <c r="T15" s="947" t="s">
        <v>647</v>
      </c>
      <c r="U15" s="947" t="s">
        <v>647</v>
      </c>
      <c r="V15" s="947" t="s">
        <v>647</v>
      </c>
      <c r="W15" s="947" t="s">
        <v>647</v>
      </c>
      <c r="X15" s="947" t="s">
        <v>647</v>
      </c>
      <c r="Y15" s="947" t="s">
        <v>647</v>
      </c>
      <c r="Z15" s="947" t="s">
        <v>647</v>
      </c>
      <c r="AA15" s="1179" t="s">
        <v>647</v>
      </c>
      <c r="AB15" s="947" t="s">
        <v>647</v>
      </c>
      <c r="AC15" s="947" t="s">
        <v>647</v>
      </c>
      <c r="AD15" s="947" t="s">
        <v>647</v>
      </c>
      <c r="AE15" s="947" t="s">
        <v>647</v>
      </c>
      <c r="AF15" s="947" t="s">
        <v>647</v>
      </c>
      <c r="AG15" s="947" t="s">
        <v>647</v>
      </c>
      <c r="AH15" s="947" t="s">
        <v>647</v>
      </c>
      <c r="AI15" s="1187" t="s">
        <v>647</v>
      </c>
      <c r="AJ15" s="1188" t="s">
        <v>647</v>
      </c>
      <c r="AK15" s="947" t="s">
        <v>647</v>
      </c>
      <c r="AL15" s="947" t="s">
        <v>647</v>
      </c>
      <c r="AM15" s="947" t="s">
        <v>647</v>
      </c>
      <c r="AN15" s="947" t="s">
        <v>647</v>
      </c>
      <c r="AO15" s="947" t="s">
        <v>647</v>
      </c>
      <c r="AP15" s="947" t="s">
        <v>647</v>
      </c>
      <c r="AQ15" s="1179" t="s">
        <v>647</v>
      </c>
      <c r="AR15" s="947" t="s">
        <v>647</v>
      </c>
      <c r="AS15" s="947" t="s">
        <v>647</v>
      </c>
      <c r="AT15" s="947" t="s">
        <v>647</v>
      </c>
      <c r="AU15" s="947" t="s">
        <v>647</v>
      </c>
      <c r="AV15" s="947" t="s">
        <v>647</v>
      </c>
      <c r="AW15" s="947" t="s">
        <v>647</v>
      </c>
      <c r="AX15" s="947" t="s">
        <v>647</v>
      </c>
      <c r="AY15" s="1179" t="s">
        <v>647</v>
      </c>
      <c r="AZ15" s="947" t="s">
        <v>647</v>
      </c>
      <c r="BA15" s="947" t="s">
        <v>647</v>
      </c>
      <c r="BB15" s="947" t="s">
        <v>647</v>
      </c>
      <c r="BC15" s="947" t="s">
        <v>647</v>
      </c>
      <c r="BD15" s="947" t="s">
        <v>647</v>
      </c>
      <c r="BE15" s="947" t="s">
        <v>647</v>
      </c>
      <c r="BF15" s="947" t="s">
        <v>647</v>
      </c>
      <c r="BG15" s="1179" t="s">
        <v>647</v>
      </c>
      <c r="BH15" s="947" t="s">
        <v>647</v>
      </c>
      <c r="BI15" s="947" t="s">
        <v>647</v>
      </c>
      <c r="BJ15" s="1185" t="s">
        <v>647</v>
      </c>
      <c r="BK15" s="1185" t="s">
        <v>647</v>
      </c>
      <c r="BL15" s="947" t="s">
        <v>647</v>
      </c>
      <c r="BM15" s="947" t="s">
        <v>647</v>
      </c>
      <c r="BN15" s="947" t="s">
        <v>647</v>
      </c>
      <c r="BO15" s="1179" t="s">
        <v>647</v>
      </c>
      <c r="BR15" s="690"/>
      <c r="BS15" s="81"/>
      <c r="BW15" s="282"/>
      <c r="BX15" s="76"/>
      <c r="BY15" s="693">
        <f t="shared" si="6"/>
        <v>2025</v>
      </c>
      <c r="BZ15" s="690">
        <f t="shared" si="7"/>
        <v>98567189117851.453</v>
      </c>
      <c r="CA15" s="19">
        <f t="shared" si="4"/>
        <v>0.03</v>
      </c>
      <c r="CB15" s="693">
        <f t="shared" si="8"/>
        <v>2957015673535.5435</v>
      </c>
    </row>
    <row r="16" spans="1:80" ht="21" x14ac:dyDescent="0.4">
      <c r="A16" s="938"/>
      <c r="B16" s="1189"/>
      <c r="C16" s="1193" t="s">
        <v>652</v>
      </c>
      <c r="D16" s="987"/>
      <c r="E16" s="1194" t="s">
        <v>646</v>
      </c>
      <c r="F16" s="987"/>
      <c r="G16" s="1195"/>
      <c r="H16" s="947"/>
      <c r="I16" s="947"/>
      <c r="J16" s="947"/>
      <c r="K16" s="1179"/>
      <c r="L16" s="947">
        <v>0</v>
      </c>
      <c r="M16" s="947">
        <v>0</v>
      </c>
      <c r="N16" s="947">
        <f>N14*2</f>
        <v>32</v>
      </c>
      <c r="O16" s="947">
        <f t="shared" ref="O16:BO16" si="12">O14*2</f>
        <v>32</v>
      </c>
      <c r="P16" s="947">
        <f t="shared" si="12"/>
        <v>32</v>
      </c>
      <c r="Q16" s="947">
        <f t="shared" si="12"/>
        <v>32</v>
      </c>
      <c r="R16" s="947">
        <f t="shared" si="12"/>
        <v>32</v>
      </c>
      <c r="S16" s="1179">
        <f t="shared" si="12"/>
        <v>32</v>
      </c>
      <c r="T16" s="947">
        <f t="shared" si="12"/>
        <v>32</v>
      </c>
      <c r="U16" s="947">
        <f t="shared" si="12"/>
        <v>32</v>
      </c>
      <c r="V16" s="947">
        <f t="shared" si="12"/>
        <v>32</v>
      </c>
      <c r="W16" s="947">
        <f t="shared" si="12"/>
        <v>32</v>
      </c>
      <c r="X16" s="947">
        <f t="shared" si="12"/>
        <v>32</v>
      </c>
      <c r="Y16" s="947">
        <f t="shared" si="12"/>
        <v>32</v>
      </c>
      <c r="Z16" s="947">
        <f t="shared" si="12"/>
        <v>32</v>
      </c>
      <c r="AA16" s="1179">
        <f t="shared" si="12"/>
        <v>32</v>
      </c>
      <c r="AB16" s="947">
        <f t="shared" si="12"/>
        <v>32</v>
      </c>
      <c r="AC16" s="947">
        <f t="shared" si="12"/>
        <v>32</v>
      </c>
      <c r="AD16" s="947">
        <f t="shared" si="12"/>
        <v>32</v>
      </c>
      <c r="AE16" s="947">
        <f t="shared" si="12"/>
        <v>32</v>
      </c>
      <c r="AF16" s="947">
        <f t="shared" si="12"/>
        <v>32</v>
      </c>
      <c r="AG16" s="947">
        <f t="shared" si="12"/>
        <v>32</v>
      </c>
      <c r="AH16" s="947">
        <f t="shared" si="12"/>
        <v>32</v>
      </c>
      <c r="AI16" s="1187">
        <f t="shared" si="12"/>
        <v>32</v>
      </c>
      <c r="AJ16" s="1188">
        <f t="shared" si="12"/>
        <v>32</v>
      </c>
      <c r="AK16" s="947">
        <f t="shared" si="12"/>
        <v>32</v>
      </c>
      <c r="AL16" s="947">
        <f t="shared" si="12"/>
        <v>32</v>
      </c>
      <c r="AM16" s="947">
        <f t="shared" si="12"/>
        <v>32</v>
      </c>
      <c r="AN16" s="947">
        <f t="shared" si="12"/>
        <v>32</v>
      </c>
      <c r="AO16" s="947">
        <f t="shared" si="12"/>
        <v>32</v>
      </c>
      <c r="AP16" s="947">
        <f t="shared" si="12"/>
        <v>32</v>
      </c>
      <c r="AQ16" s="1179">
        <f t="shared" si="12"/>
        <v>32</v>
      </c>
      <c r="AR16" s="947">
        <f t="shared" si="12"/>
        <v>32</v>
      </c>
      <c r="AS16" s="947">
        <f t="shared" si="12"/>
        <v>32</v>
      </c>
      <c r="AT16" s="947">
        <f t="shared" si="12"/>
        <v>32</v>
      </c>
      <c r="AU16" s="947">
        <f t="shared" si="12"/>
        <v>32</v>
      </c>
      <c r="AV16" s="947">
        <f t="shared" si="12"/>
        <v>32</v>
      </c>
      <c r="AW16" s="947">
        <f t="shared" si="12"/>
        <v>32</v>
      </c>
      <c r="AX16" s="947">
        <f t="shared" si="12"/>
        <v>32</v>
      </c>
      <c r="AY16" s="1179">
        <f t="shared" si="12"/>
        <v>32</v>
      </c>
      <c r="AZ16" s="947">
        <f t="shared" si="12"/>
        <v>32</v>
      </c>
      <c r="BA16" s="947">
        <f t="shared" si="12"/>
        <v>32</v>
      </c>
      <c r="BB16" s="947">
        <f t="shared" si="12"/>
        <v>32</v>
      </c>
      <c r="BC16" s="947">
        <f t="shared" si="12"/>
        <v>32</v>
      </c>
      <c r="BD16" s="947">
        <f t="shared" si="12"/>
        <v>32</v>
      </c>
      <c r="BE16" s="947">
        <f t="shared" si="12"/>
        <v>32</v>
      </c>
      <c r="BF16" s="947">
        <f t="shared" si="12"/>
        <v>32</v>
      </c>
      <c r="BG16" s="1179">
        <f t="shared" si="12"/>
        <v>32</v>
      </c>
      <c r="BH16" s="947">
        <f t="shared" si="12"/>
        <v>32</v>
      </c>
      <c r="BI16" s="947">
        <f t="shared" si="12"/>
        <v>32</v>
      </c>
      <c r="BJ16" s="1185">
        <f t="shared" si="12"/>
        <v>32</v>
      </c>
      <c r="BK16" s="1185">
        <f t="shared" si="12"/>
        <v>32</v>
      </c>
      <c r="BL16" s="947">
        <f t="shared" si="12"/>
        <v>32</v>
      </c>
      <c r="BM16" s="947">
        <f t="shared" si="12"/>
        <v>32</v>
      </c>
      <c r="BN16" s="947">
        <f t="shared" si="12"/>
        <v>32</v>
      </c>
      <c r="BO16" s="1179">
        <f t="shared" si="12"/>
        <v>32</v>
      </c>
      <c r="BP16" s="42">
        <f>SUM(H16:BO16)</f>
        <v>1728</v>
      </c>
      <c r="BQ16" s="690">
        <f>BQ14</f>
        <v>167772.16</v>
      </c>
      <c r="BR16" s="690">
        <f t="shared" si="5"/>
        <v>289910292.48000002</v>
      </c>
      <c r="BS16" s="80">
        <f>BS14/2</f>
        <v>3.125E-2</v>
      </c>
      <c r="BT16" s="690">
        <f>BP16*BQ16*BS16</f>
        <v>9059696.6400000006</v>
      </c>
      <c r="BU16" s="1">
        <f>BP16*BS16</f>
        <v>54</v>
      </c>
      <c r="BX16" s="76"/>
      <c r="BY16" s="693">
        <f t="shared" si="6"/>
        <v>2026</v>
      </c>
      <c r="BZ16" s="690">
        <f t="shared" si="7"/>
        <v>101524204791387</v>
      </c>
      <c r="CA16" s="19">
        <f t="shared" si="4"/>
        <v>0.03</v>
      </c>
      <c r="CB16" s="693">
        <f t="shared" si="8"/>
        <v>3045726143741.6099</v>
      </c>
    </row>
    <row r="17" spans="1:80" ht="21" x14ac:dyDescent="0.4">
      <c r="A17" s="938"/>
      <c r="B17" s="1189"/>
      <c r="C17" s="1193" t="s">
        <v>653</v>
      </c>
      <c r="D17" s="987"/>
      <c r="E17" s="1194" t="s">
        <v>647</v>
      </c>
      <c r="F17" s="987"/>
      <c r="G17" s="1195"/>
      <c r="H17" s="947"/>
      <c r="I17" s="947"/>
      <c r="J17" s="947"/>
      <c r="K17" s="1179"/>
      <c r="L17" s="947"/>
      <c r="M17" s="947"/>
      <c r="N17" s="947" t="s">
        <v>645</v>
      </c>
      <c r="O17" s="947" t="s">
        <v>646</v>
      </c>
      <c r="P17" s="947" t="s">
        <v>647</v>
      </c>
      <c r="Q17" s="947" t="s">
        <v>647</v>
      </c>
      <c r="R17" s="947" t="s">
        <v>647</v>
      </c>
      <c r="S17" s="1179" t="s">
        <v>647</v>
      </c>
      <c r="T17" s="947" t="s">
        <v>647</v>
      </c>
      <c r="U17" s="947" t="s">
        <v>647</v>
      </c>
      <c r="V17" s="947" t="s">
        <v>647</v>
      </c>
      <c r="W17" s="947" t="s">
        <v>647</v>
      </c>
      <c r="X17" s="947" t="s">
        <v>647</v>
      </c>
      <c r="Y17" s="947" t="s">
        <v>647</v>
      </c>
      <c r="Z17" s="947" t="s">
        <v>647</v>
      </c>
      <c r="AA17" s="1179" t="s">
        <v>647</v>
      </c>
      <c r="AB17" s="947" t="s">
        <v>647</v>
      </c>
      <c r="AC17" s="947" t="s">
        <v>647</v>
      </c>
      <c r="AD17" s="947" t="s">
        <v>647</v>
      </c>
      <c r="AE17" s="947" t="s">
        <v>647</v>
      </c>
      <c r="AF17" s="947" t="s">
        <v>647</v>
      </c>
      <c r="AG17" s="947" t="s">
        <v>647</v>
      </c>
      <c r="AH17" s="947" t="s">
        <v>647</v>
      </c>
      <c r="AI17" s="1187" t="s">
        <v>647</v>
      </c>
      <c r="AJ17" s="1188" t="s">
        <v>647</v>
      </c>
      <c r="AK17" s="947" t="s">
        <v>647</v>
      </c>
      <c r="AL17" s="947" t="s">
        <v>647</v>
      </c>
      <c r="AM17" s="947" t="s">
        <v>647</v>
      </c>
      <c r="AN17" s="947" t="s">
        <v>647</v>
      </c>
      <c r="AO17" s="947" t="s">
        <v>647</v>
      </c>
      <c r="AP17" s="947" t="s">
        <v>647</v>
      </c>
      <c r="AQ17" s="1179" t="s">
        <v>647</v>
      </c>
      <c r="AR17" s="947" t="s">
        <v>647</v>
      </c>
      <c r="AS17" s="947" t="s">
        <v>647</v>
      </c>
      <c r="AT17" s="947" t="s">
        <v>647</v>
      </c>
      <c r="AU17" s="947" t="s">
        <v>647</v>
      </c>
      <c r="AV17" s="947" t="s">
        <v>647</v>
      </c>
      <c r="AW17" s="947" t="s">
        <v>647</v>
      </c>
      <c r="AX17" s="947" t="s">
        <v>647</v>
      </c>
      <c r="AY17" s="1179" t="s">
        <v>647</v>
      </c>
      <c r="AZ17" s="947" t="s">
        <v>647</v>
      </c>
      <c r="BA17" s="947" t="s">
        <v>647</v>
      </c>
      <c r="BB17" s="947" t="s">
        <v>647</v>
      </c>
      <c r="BC17" s="947" t="s">
        <v>647</v>
      </c>
      <c r="BD17" s="947" t="s">
        <v>647</v>
      </c>
      <c r="BE17" s="947" t="s">
        <v>647</v>
      </c>
      <c r="BF17" s="947" t="s">
        <v>647</v>
      </c>
      <c r="BG17" s="1179" t="s">
        <v>647</v>
      </c>
      <c r="BH17" s="947" t="s">
        <v>647</v>
      </c>
      <c r="BI17" s="947" t="s">
        <v>647</v>
      </c>
      <c r="BJ17" s="1185" t="s">
        <v>647</v>
      </c>
      <c r="BK17" s="1185" t="s">
        <v>647</v>
      </c>
      <c r="BL17" s="947" t="s">
        <v>647</v>
      </c>
      <c r="BM17" s="947" t="s">
        <v>647</v>
      </c>
      <c r="BN17" s="947" t="s">
        <v>647</v>
      </c>
      <c r="BO17" s="1179" t="s">
        <v>647</v>
      </c>
      <c r="BR17" s="690"/>
      <c r="BS17" s="81"/>
      <c r="BX17" s="76"/>
      <c r="BY17" s="693">
        <f t="shared" si="6"/>
        <v>2027</v>
      </c>
      <c r="BZ17" s="690">
        <f t="shared" si="7"/>
        <v>104569930935128.61</v>
      </c>
      <c r="CA17" s="19">
        <f t="shared" si="4"/>
        <v>0.03</v>
      </c>
      <c r="CB17" s="693">
        <f t="shared" si="8"/>
        <v>3137097928053.8584</v>
      </c>
    </row>
    <row r="18" spans="1:80" ht="21" x14ac:dyDescent="0.4">
      <c r="A18" s="938"/>
      <c r="B18" s="1189"/>
      <c r="C18" s="1193" t="s">
        <v>654</v>
      </c>
      <c r="D18" s="987"/>
      <c r="E18" s="987"/>
      <c r="F18" s="987"/>
      <c r="G18" s="1195"/>
      <c r="H18" s="947"/>
      <c r="I18" s="947"/>
      <c r="J18" s="947"/>
      <c r="K18" s="1179"/>
      <c r="L18" s="947"/>
      <c r="M18" s="947"/>
      <c r="N18" s="947">
        <v>0</v>
      </c>
      <c r="O18" s="947">
        <v>0</v>
      </c>
      <c r="P18" s="947">
        <f>P16*2</f>
        <v>64</v>
      </c>
      <c r="Q18" s="947">
        <f t="shared" ref="Q18:BO18" si="13">Q16*2</f>
        <v>64</v>
      </c>
      <c r="R18" s="947">
        <f t="shared" si="13"/>
        <v>64</v>
      </c>
      <c r="S18" s="1179">
        <f t="shared" si="13"/>
        <v>64</v>
      </c>
      <c r="T18" s="947">
        <f t="shared" si="13"/>
        <v>64</v>
      </c>
      <c r="U18" s="947">
        <f t="shared" si="13"/>
        <v>64</v>
      </c>
      <c r="V18" s="947">
        <f t="shared" si="13"/>
        <v>64</v>
      </c>
      <c r="W18" s="947">
        <f t="shared" si="13"/>
        <v>64</v>
      </c>
      <c r="X18" s="947">
        <f t="shared" si="13"/>
        <v>64</v>
      </c>
      <c r="Y18" s="947">
        <f t="shared" si="13"/>
        <v>64</v>
      </c>
      <c r="Z18" s="947">
        <f t="shared" si="13"/>
        <v>64</v>
      </c>
      <c r="AA18" s="1179">
        <f t="shared" si="13"/>
        <v>64</v>
      </c>
      <c r="AB18" s="947">
        <f t="shared" si="13"/>
        <v>64</v>
      </c>
      <c r="AC18" s="947">
        <f t="shared" si="13"/>
        <v>64</v>
      </c>
      <c r="AD18" s="947">
        <f t="shared" si="13"/>
        <v>64</v>
      </c>
      <c r="AE18" s="947">
        <f t="shared" si="13"/>
        <v>64</v>
      </c>
      <c r="AF18" s="947">
        <f t="shared" si="13"/>
        <v>64</v>
      </c>
      <c r="AG18" s="947">
        <f t="shared" si="13"/>
        <v>64</v>
      </c>
      <c r="AH18" s="947">
        <f t="shared" si="13"/>
        <v>64</v>
      </c>
      <c r="AI18" s="1187">
        <f t="shared" si="13"/>
        <v>64</v>
      </c>
      <c r="AJ18" s="1188">
        <f t="shared" si="13"/>
        <v>64</v>
      </c>
      <c r="AK18" s="947">
        <f t="shared" si="13"/>
        <v>64</v>
      </c>
      <c r="AL18" s="947">
        <f t="shared" si="13"/>
        <v>64</v>
      </c>
      <c r="AM18" s="947">
        <f t="shared" si="13"/>
        <v>64</v>
      </c>
      <c r="AN18" s="947">
        <f t="shared" si="13"/>
        <v>64</v>
      </c>
      <c r="AO18" s="947">
        <f t="shared" si="13"/>
        <v>64</v>
      </c>
      <c r="AP18" s="947">
        <f t="shared" si="13"/>
        <v>64</v>
      </c>
      <c r="AQ18" s="1179">
        <f t="shared" si="13"/>
        <v>64</v>
      </c>
      <c r="AR18" s="947">
        <f t="shared" si="13"/>
        <v>64</v>
      </c>
      <c r="AS18" s="947">
        <f t="shared" si="13"/>
        <v>64</v>
      </c>
      <c r="AT18" s="947">
        <f t="shared" si="13"/>
        <v>64</v>
      </c>
      <c r="AU18" s="947">
        <f t="shared" si="13"/>
        <v>64</v>
      </c>
      <c r="AV18" s="947">
        <f t="shared" si="13"/>
        <v>64</v>
      </c>
      <c r="AW18" s="947">
        <f t="shared" si="13"/>
        <v>64</v>
      </c>
      <c r="AX18" s="947">
        <f t="shared" si="13"/>
        <v>64</v>
      </c>
      <c r="AY18" s="1179">
        <f t="shared" si="13"/>
        <v>64</v>
      </c>
      <c r="AZ18" s="947">
        <f t="shared" si="13"/>
        <v>64</v>
      </c>
      <c r="BA18" s="947">
        <f t="shared" si="13"/>
        <v>64</v>
      </c>
      <c r="BB18" s="947">
        <f t="shared" si="13"/>
        <v>64</v>
      </c>
      <c r="BC18" s="947">
        <f t="shared" si="13"/>
        <v>64</v>
      </c>
      <c r="BD18" s="947">
        <f t="shared" si="13"/>
        <v>64</v>
      </c>
      <c r="BE18" s="947">
        <f t="shared" si="13"/>
        <v>64</v>
      </c>
      <c r="BF18" s="947">
        <f t="shared" si="13"/>
        <v>64</v>
      </c>
      <c r="BG18" s="1179">
        <f t="shared" si="13"/>
        <v>64</v>
      </c>
      <c r="BH18" s="947">
        <f t="shared" si="13"/>
        <v>64</v>
      </c>
      <c r="BI18" s="947">
        <f t="shared" si="13"/>
        <v>64</v>
      </c>
      <c r="BJ18" s="1185">
        <f t="shared" si="13"/>
        <v>64</v>
      </c>
      <c r="BK18" s="1185">
        <f t="shared" si="13"/>
        <v>64</v>
      </c>
      <c r="BL18" s="947">
        <f t="shared" si="13"/>
        <v>64</v>
      </c>
      <c r="BM18" s="947">
        <f t="shared" si="13"/>
        <v>64</v>
      </c>
      <c r="BN18" s="947">
        <f t="shared" si="13"/>
        <v>64</v>
      </c>
      <c r="BO18" s="1179">
        <f t="shared" si="13"/>
        <v>64</v>
      </c>
      <c r="BP18" s="42">
        <f>SUM(H18:BO18)</f>
        <v>3328</v>
      </c>
      <c r="BQ18" s="690">
        <f>BQ16</f>
        <v>167772.16</v>
      </c>
      <c r="BR18" s="690">
        <f t="shared" si="5"/>
        <v>558345748.48000002</v>
      </c>
      <c r="BS18" s="80">
        <f>BS16/2</f>
        <v>1.5625E-2</v>
      </c>
      <c r="BT18" s="690">
        <f>BP18*BQ18*BS18</f>
        <v>8724152.3200000003</v>
      </c>
      <c r="BU18" s="1">
        <f>BP18*BS18</f>
        <v>52</v>
      </c>
      <c r="BX18" s="76"/>
      <c r="BY18" s="693">
        <f t="shared" si="6"/>
        <v>2028</v>
      </c>
      <c r="BZ18" s="690">
        <f t="shared" si="7"/>
        <v>107707028863182.47</v>
      </c>
      <c r="CA18" s="19">
        <f t="shared" si="4"/>
        <v>0.03</v>
      </c>
      <c r="CB18" s="693">
        <f t="shared" si="8"/>
        <v>3231210865895.4741</v>
      </c>
    </row>
    <row r="19" spans="1:80" ht="21" x14ac:dyDescent="0.4">
      <c r="A19" s="938"/>
      <c r="B19" s="1189"/>
      <c r="C19" s="1193" t="s">
        <v>655</v>
      </c>
      <c r="D19" s="987"/>
      <c r="E19" s="987"/>
      <c r="F19" s="987"/>
      <c r="G19" s="1195"/>
      <c r="H19" s="947"/>
      <c r="I19" s="947"/>
      <c r="J19" s="947"/>
      <c r="K19" s="1179"/>
      <c r="L19" s="947"/>
      <c r="M19" s="947"/>
      <c r="N19" s="947"/>
      <c r="O19" s="947"/>
      <c r="P19" s="947" t="s">
        <v>645</v>
      </c>
      <c r="Q19" s="947" t="s">
        <v>646</v>
      </c>
      <c r="R19" s="947" t="s">
        <v>647</v>
      </c>
      <c r="S19" s="1179" t="s">
        <v>647</v>
      </c>
      <c r="T19" s="947" t="s">
        <v>647</v>
      </c>
      <c r="U19" s="947" t="s">
        <v>647</v>
      </c>
      <c r="V19" s="947" t="s">
        <v>647</v>
      </c>
      <c r="W19" s="947" t="s">
        <v>647</v>
      </c>
      <c r="X19" s="947" t="s">
        <v>647</v>
      </c>
      <c r="Y19" s="947" t="s">
        <v>647</v>
      </c>
      <c r="Z19" s="947" t="s">
        <v>647</v>
      </c>
      <c r="AA19" s="1179" t="s">
        <v>647</v>
      </c>
      <c r="AB19" s="947" t="s">
        <v>647</v>
      </c>
      <c r="AC19" s="947" t="s">
        <v>647</v>
      </c>
      <c r="AD19" s="947" t="s">
        <v>647</v>
      </c>
      <c r="AE19" s="947" t="s">
        <v>647</v>
      </c>
      <c r="AF19" s="947" t="s">
        <v>647</v>
      </c>
      <c r="AG19" s="947" t="s">
        <v>647</v>
      </c>
      <c r="AH19" s="947" t="s">
        <v>647</v>
      </c>
      <c r="AI19" s="1187" t="s">
        <v>647</v>
      </c>
      <c r="AJ19" s="1188" t="s">
        <v>647</v>
      </c>
      <c r="AK19" s="947" t="s">
        <v>647</v>
      </c>
      <c r="AL19" s="947" t="s">
        <v>647</v>
      </c>
      <c r="AM19" s="947" t="s">
        <v>647</v>
      </c>
      <c r="AN19" s="947" t="s">
        <v>647</v>
      </c>
      <c r="AO19" s="947" t="s">
        <v>647</v>
      </c>
      <c r="AP19" s="947" t="s">
        <v>647</v>
      </c>
      <c r="AQ19" s="1179" t="s">
        <v>647</v>
      </c>
      <c r="AR19" s="947" t="s">
        <v>647</v>
      </c>
      <c r="AS19" s="947" t="s">
        <v>647</v>
      </c>
      <c r="AT19" s="947" t="s">
        <v>647</v>
      </c>
      <c r="AU19" s="947" t="s">
        <v>647</v>
      </c>
      <c r="AV19" s="947" t="s">
        <v>647</v>
      </c>
      <c r="AW19" s="947" t="s">
        <v>647</v>
      </c>
      <c r="AX19" s="947" t="s">
        <v>647</v>
      </c>
      <c r="AY19" s="1179" t="s">
        <v>647</v>
      </c>
      <c r="AZ19" s="947" t="s">
        <v>647</v>
      </c>
      <c r="BA19" s="947" t="s">
        <v>647</v>
      </c>
      <c r="BB19" s="947" t="s">
        <v>647</v>
      </c>
      <c r="BC19" s="947" t="s">
        <v>647</v>
      </c>
      <c r="BD19" s="947" t="s">
        <v>647</v>
      </c>
      <c r="BE19" s="947" t="s">
        <v>647</v>
      </c>
      <c r="BF19" s="947" t="s">
        <v>647</v>
      </c>
      <c r="BG19" s="1179" t="s">
        <v>647</v>
      </c>
      <c r="BH19" s="947" t="s">
        <v>647</v>
      </c>
      <c r="BI19" s="947" t="s">
        <v>647</v>
      </c>
      <c r="BJ19" s="1185" t="s">
        <v>647</v>
      </c>
      <c r="BK19" s="1185" t="s">
        <v>647</v>
      </c>
      <c r="BL19" s="947" t="s">
        <v>647</v>
      </c>
      <c r="BM19" s="947" t="s">
        <v>647</v>
      </c>
      <c r="BN19" s="947" t="s">
        <v>647</v>
      </c>
      <c r="BO19" s="1179" t="s">
        <v>647</v>
      </c>
      <c r="BR19" s="690"/>
      <c r="BS19" s="81"/>
      <c r="BX19" s="76"/>
      <c r="BY19" s="693">
        <f t="shared" si="6"/>
        <v>2029</v>
      </c>
      <c r="BZ19" s="690">
        <f t="shared" si="7"/>
        <v>110938239729077.94</v>
      </c>
      <c r="CA19" s="19">
        <f t="shared" si="4"/>
        <v>0.03</v>
      </c>
      <c r="CB19" s="693">
        <f t="shared" si="8"/>
        <v>3328147191872.3379</v>
      </c>
    </row>
    <row r="20" spans="1:80" ht="13.95" customHeight="1" x14ac:dyDescent="0.3">
      <c r="A20" s="938"/>
      <c r="B20" s="1189"/>
      <c r="C20" s="1125"/>
      <c r="D20" s="1125"/>
      <c r="E20" s="1125"/>
      <c r="F20" s="1125"/>
      <c r="G20" s="1126"/>
      <c r="H20" s="947"/>
      <c r="I20" s="947"/>
      <c r="J20" s="947"/>
      <c r="K20" s="1179"/>
      <c r="L20" s="947"/>
      <c r="M20" s="947"/>
      <c r="N20" s="947"/>
      <c r="O20" s="947"/>
      <c r="P20" s="947">
        <v>0</v>
      </c>
      <c r="Q20" s="947">
        <v>0</v>
      </c>
      <c r="R20" s="947">
        <f t="shared" ref="R20:BO22" si="14">R18*2</f>
        <v>128</v>
      </c>
      <c r="S20" s="1179">
        <f t="shared" si="14"/>
        <v>128</v>
      </c>
      <c r="T20" s="947">
        <f t="shared" si="14"/>
        <v>128</v>
      </c>
      <c r="U20" s="947">
        <f t="shared" si="14"/>
        <v>128</v>
      </c>
      <c r="V20" s="947">
        <f t="shared" si="14"/>
        <v>128</v>
      </c>
      <c r="W20" s="947">
        <f t="shared" si="14"/>
        <v>128</v>
      </c>
      <c r="X20" s="947">
        <f t="shared" si="14"/>
        <v>128</v>
      </c>
      <c r="Y20" s="947">
        <f t="shared" si="14"/>
        <v>128</v>
      </c>
      <c r="Z20" s="947">
        <f t="shared" si="14"/>
        <v>128</v>
      </c>
      <c r="AA20" s="1179">
        <f t="shared" si="14"/>
        <v>128</v>
      </c>
      <c r="AB20" s="947">
        <f t="shared" si="14"/>
        <v>128</v>
      </c>
      <c r="AC20" s="947">
        <f t="shared" si="14"/>
        <v>128</v>
      </c>
      <c r="AD20" s="947">
        <f t="shared" si="14"/>
        <v>128</v>
      </c>
      <c r="AE20" s="947">
        <f t="shared" si="14"/>
        <v>128</v>
      </c>
      <c r="AF20" s="947">
        <f t="shared" si="14"/>
        <v>128</v>
      </c>
      <c r="AG20" s="947">
        <f t="shared" si="14"/>
        <v>128</v>
      </c>
      <c r="AH20" s="947">
        <f t="shared" si="14"/>
        <v>128</v>
      </c>
      <c r="AI20" s="1187">
        <f t="shared" si="14"/>
        <v>128</v>
      </c>
      <c r="AJ20" s="1188">
        <f t="shared" si="14"/>
        <v>128</v>
      </c>
      <c r="AK20" s="947">
        <f t="shared" si="14"/>
        <v>128</v>
      </c>
      <c r="AL20" s="947">
        <f t="shared" si="14"/>
        <v>128</v>
      </c>
      <c r="AM20" s="947">
        <f t="shared" si="14"/>
        <v>128</v>
      </c>
      <c r="AN20" s="947">
        <f t="shared" si="14"/>
        <v>128</v>
      </c>
      <c r="AO20" s="947">
        <f t="shared" si="14"/>
        <v>128</v>
      </c>
      <c r="AP20" s="947">
        <f t="shared" si="14"/>
        <v>128</v>
      </c>
      <c r="AQ20" s="1179">
        <f t="shared" si="14"/>
        <v>128</v>
      </c>
      <c r="AR20" s="947">
        <f t="shared" si="14"/>
        <v>128</v>
      </c>
      <c r="AS20" s="947">
        <f t="shared" si="14"/>
        <v>128</v>
      </c>
      <c r="AT20" s="947">
        <f t="shared" si="14"/>
        <v>128</v>
      </c>
      <c r="AU20" s="947">
        <f t="shared" si="14"/>
        <v>128</v>
      </c>
      <c r="AV20" s="947">
        <f t="shared" si="14"/>
        <v>128</v>
      </c>
      <c r="AW20" s="947">
        <f t="shared" si="14"/>
        <v>128</v>
      </c>
      <c r="AX20" s="947">
        <f t="shared" si="14"/>
        <v>128</v>
      </c>
      <c r="AY20" s="1179">
        <f t="shared" si="14"/>
        <v>128</v>
      </c>
      <c r="AZ20" s="947">
        <f t="shared" si="14"/>
        <v>128</v>
      </c>
      <c r="BA20" s="947">
        <f t="shared" si="14"/>
        <v>128</v>
      </c>
      <c r="BB20" s="947">
        <f t="shared" si="14"/>
        <v>128</v>
      </c>
      <c r="BC20" s="947">
        <f t="shared" si="14"/>
        <v>128</v>
      </c>
      <c r="BD20" s="947">
        <f t="shared" si="14"/>
        <v>128</v>
      </c>
      <c r="BE20" s="947">
        <f t="shared" si="14"/>
        <v>128</v>
      </c>
      <c r="BF20" s="947">
        <f t="shared" si="14"/>
        <v>128</v>
      </c>
      <c r="BG20" s="1179">
        <f t="shared" si="14"/>
        <v>128</v>
      </c>
      <c r="BH20" s="947">
        <f t="shared" si="14"/>
        <v>128</v>
      </c>
      <c r="BI20" s="947">
        <f t="shared" si="14"/>
        <v>128</v>
      </c>
      <c r="BJ20" s="1185">
        <f t="shared" si="14"/>
        <v>128</v>
      </c>
      <c r="BK20" s="1185">
        <f t="shared" si="14"/>
        <v>128</v>
      </c>
      <c r="BL20" s="947">
        <f t="shared" si="14"/>
        <v>128</v>
      </c>
      <c r="BM20" s="947">
        <f t="shared" si="14"/>
        <v>128</v>
      </c>
      <c r="BN20" s="947">
        <f t="shared" si="14"/>
        <v>128</v>
      </c>
      <c r="BO20" s="1179">
        <f t="shared" si="14"/>
        <v>128</v>
      </c>
      <c r="BP20" s="42">
        <f>SUM(D20:BO20)</f>
        <v>6400</v>
      </c>
      <c r="BQ20" s="690">
        <f>BQ18</f>
        <v>167772.16</v>
      </c>
      <c r="BR20" s="690">
        <f t="shared" si="5"/>
        <v>1073741824</v>
      </c>
      <c r="BS20" s="80">
        <f>BS18/2</f>
        <v>7.8125E-3</v>
      </c>
      <c r="BT20" s="690">
        <f>BP20*BQ20*BS20</f>
        <v>8388608</v>
      </c>
      <c r="BU20" s="1">
        <f>BP20*BS20</f>
        <v>50</v>
      </c>
      <c r="BX20" s="76"/>
      <c r="BY20" s="693">
        <f t="shared" si="6"/>
        <v>2030</v>
      </c>
      <c r="BZ20" s="690">
        <f t="shared" si="7"/>
        <v>114266386920950.28</v>
      </c>
      <c r="CA20" s="19">
        <f t="shared" si="4"/>
        <v>0.03</v>
      </c>
      <c r="CB20" s="693">
        <f t="shared" si="8"/>
        <v>3427991607628.5083</v>
      </c>
    </row>
    <row r="21" spans="1:80" ht="13.95" customHeight="1" x14ac:dyDescent="0.3">
      <c r="A21" s="938"/>
      <c r="B21" s="1177"/>
      <c r="C21" s="938"/>
      <c r="D21" s="938"/>
      <c r="E21" s="938"/>
      <c r="F21" s="938"/>
      <c r="G21" s="938"/>
      <c r="H21" s="947"/>
      <c r="I21" s="947"/>
      <c r="J21" s="947"/>
      <c r="K21" s="1179"/>
      <c r="L21" s="947"/>
      <c r="M21" s="947"/>
      <c r="N21" s="947"/>
      <c r="O21" s="947"/>
      <c r="P21" s="947"/>
      <c r="Q21" s="947"/>
      <c r="R21" s="947" t="s">
        <v>645</v>
      </c>
      <c r="S21" s="1179" t="s">
        <v>646</v>
      </c>
      <c r="T21" s="947" t="s">
        <v>647</v>
      </c>
      <c r="U21" s="947" t="s">
        <v>647</v>
      </c>
      <c r="V21" s="947" t="s">
        <v>647</v>
      </c>
      <c r="W21" s="947" t="s">
        <v>647</v>
      </c>
      <c r="X21" s="947" t="s">
        <v>647</v>
      </c>
      <c r="Y21" s="947" t="s">
        <v>647</v>
      </c>
      <c r="Z21" s="947" t="s">
        <v>647</v>
      </c>
      <c r="AA21" s="1179" t="s">
        <v>647</v>
      </c>
      <c r="AB21" s="947" t="s">
        <v>647</v>
      </c>
      <c r="AC21" s="947" t="s">
        <v>647</v>
      </c>
      <c r="AD21" s="947" t="s">
        <v>647</v>
      </c>
      <c r="AE21" s="947" t="s">
        <v>647</v>
      </c>
      <c r="AF21" s="947" t="s">
        <v>647</v>
      </c>
      <c r="AG21" s="947" t="s">
        <v>647</v>
      </c>
      <c r="AH21" s="947" t="s">
        <v>647</v>
      </c>
      <c r="AI21" s="1187" t="s">
        <v>647</v>
      </c>
      <c r="AJ21" s="1188" t="s">
        <v>647</v>
      </c>
      <c r="AK21" s="947" t="s">
        <v>647</v>
      </c>
      <c r="AL21" s="947" t="s">
        <v>647</v>
      </c>
      <c r="AM21" s="947" t="s">
        <v>647</v>
      </c>
      <c r="AN21" s="947" t="s">
        <v>647</v>
      </c>
      <c r="AO21" s="947" t="s">
        <v>647</v>
      </c>
      <c r="AP21" s="947" t="s">
        <v>647</v>
      </c>
      <c r="AQ21" s="1179" t="s">
        <v>647</v>
      </c>
      <c r="AR21" s="947" t="s">
        <v>647</v>
      </c>
      <c r="AS21" s="947" t="s">
        <v>647</v>
      </c>
      <c r="AT21" s="947" t="s">
        <v>647</v>
      </c>
      <c r="AU21" s="947" t="s">
        <v>647</v>
      </c>
      <c r="AV21" s="947" t="s">
        <v>647</v>
      </c>
      <c r="AW21" s="947" t="s">
        <v>647</v>
      </c>
      <c r="AX21" s="947" t="s">
        <v>647</v>
      </c>
      <c r="AY21" s="1179" t="s">
        <v>647</v>
      </c>
      <c r="AZ21" s="947" t="s">
        <v>647</v>
      </c>
      <c r="BA21" s="947" t="s">
        <v>647</v>
      </c>
      <c r="BB21" s="947" t="s">
        <v>647</v>
      </c>
      <c r="BC21" s="947" t="s">
        <v>647</v>
      </c>
      <c r="BD21" s="947" t="s">
        <v>647</v>
      </c>
      <c r="BE21" s="947" t="s">
        <v>647</v>
      </c>
      <c r="BF21" s="947" t="s">
        <v>647</v>
      </c>
      <c r="BG21" s="1179" t="s">
        <v>647</v>
      </c>
      <c r="BH21" s="947" t="s">
        <v>647</v>
      </c>
      <c r="BI21" s="947" t="s">
        <v>647</v>
      </c>
      <c r="BJ21" s="1185" t="s">
        <v>647</v>
      </c>
      <c r="BK21" s="1185" t="s">
        <v>647</v>
      </c>
      <c r="BL21" s="947" t="s">
        <v>647</v>
      </c>
      <c r="BM21" s="947" t="s">
        <v>647</v>
      </c>
      <c r="BN21" s="947" t="s">
        <v>647</v>
      </c>
      <c r="BO21" s="1179" t="s">
        <v>647</v>
      </c>
      <c r="BR21" s="690"/>
      <c r="BS21" s="81"/>
      <c r="BX21" s="76"/>
      <c r="BY21" s="693">
        <f t="shared" si="6"/>
        <v>2031</v>
      </c>
      <c r="BZ21" s="690">
        <f t="shared" si="7"/>
        <v>117694378528578.8</v>
      </c>
      <c r="CA21" s="19">
        <f t="shared" si="4"/>
        <v>0.03</v>
      </c>
      <c r="CB21" s="693">
        <f t="shared" si="8"/>
        <v>3530831355857.3638</v>
      </c>
    </row>
    <row r="22" spans="1:80" ht="13.95" customHeight="1" x14ac:dyDescent="0.3">
      <c r="A22" s="938"/>
      <c r="B22" s="1177"/>
      <c r="C22" s="938"/>
      <c r="D22" s="938"/>
      <c r="E22" s="938"/>
      <c r="F22" s="938"/>
      <c r="G22" s="938"/>
      <c r="H22" s="947"/>
      <c r="I22" s="947"/>
      <c r="J22" s="947"/>
      <c r="K22" s="1179"/>
      <c r="L22" s="947"/>
      <c r="M22" s="947"/>
      <c r="N22" s="947"/>
      <c r="O22" s="947"/>
      <c r="P22" s="947"/>
      <c r="Q22" s="947"/>
      <c r="R22" s="947">
        <v>0</v>
      </c>
      <c r="S22" s="1179">
        <v>0</v>
      </c>
      <c r="T22" s="947">
        <f t="shared" si="14"/>
        <v>256</v>
      </c>
      <c r="U22" s="947">
        <f t="shared" si="14"/>
        <v>256</v>
      </c>
      <c r="V22" s="947">
        <f t="shared" si="14"/>
        <v>256</v>
      </c>
      <c r="W22" s="947">
        <f t="shared" si="14"/>
        <v>256</v>
      </c>
      <c r="X22" s="947">
        <f t="shared" si="14"/>
        <v>256</v>
      </c>
      <c r="Y22" s="947">
        <f t="shared" si="14"/>
        <v>256</v>
      </c>
      <c r="Z22" s="947">
        <f t="shared" si="14"/>
        <v>256</v>
      </c>
      <c r="AA22" s="1179">
        <f t="shared" si="14"/>
        <v>256</v>
      </c>
      <c r="AB22" s="947">
        <f t="shared" si="14"/>
        <v>256</v>
      </c>
      <c r="AC22" s="947">
        <f t="shared" si="14"/>
        <v>256</v>
      </c>
      <c r="AD22" s="947">
        <f t="shared" si="14"/>
        <v>256</v>
      </c>
      <c r="AE22" s="947">
        <f t="shared" si="14"/>
        <v>256</v>
      </c>
      <c r="AF22" s="947">
        <f t="shared" si="14"/>
        <v>256</v>
      </c>
      <c r="AG22" s="947">
        <f t="shared" si="14"/>
        <v>256</v>
      </c>
      <c r="AH22" s="947">
        <f t="shared" si="14"/>
        <v>256</v>
      </c>
      <c r="AI22" s="1187">
        <f t="shared" si="14"/>
        <v>256</v>
      </c>
      <c r="AJ22" s="1188">
        <f t="shared" si="14"/>
        <v>256</v>
      </c>
      <c r="AK22" s="947">
        <f t="shared" si="14"/>
        <v>256</v>
      </c>
      <c r="AL22" s="947">
        <f t="shared" si="14"/>
        <v>256</v>
      </c>
      <c r="AM22" s="947">
        <f t="shared" si="14"/>
        <v>256</v>
      </c>
      <c r="AN22" s="947">
        <f t="shared" si="14"/>
        <v>256</v>
      </c>
      <c r="AO22" s="947">
        <f t="shared" si="14"/>
        <v>256</v>
      </c>
      <c r="AP22" s="947">
        <f t="shared" si="14"/>
        <v>256</v>
      </c>
      <c r="AQ22" s="1179">
        <f t="shared" si="14"/>
        <v>256</v>
      </c>
      <c r="AR22" s="947">
        <f t="shared" si="14"/>
        <v>256</v>
      </c>
      <c r="AS22" s="947">
        <f t="shared" si="14"/>
        <v>256</v>
      </c>
      <c r="AT22" s="947">
        <f t="shared" si="14"/>
        <v>256</v>
      </c>
      <c r="AU22" s="947">
        <f t="shared" si="14"/>
        <v>256</v>
      </c>
      <c r="AV22" s="947">
        <f t="shared" si="14"/>
        <v>256</v>
      </c>
      <c r="AW22" s="947">
        <f t="shared" si="14"/>
        <v>256</v>
      </c>
      <c r="AX22" s="947">
        <f t="shared" si="14"/>
        <v>256</v>
      </c>
      <c r="AY22" s="1179">
        <f t="shared" si="14"/>
        <v>256</v>
      </c>
      <c r="AZ22" s="947">
        <f t="shared" si="14"/>
        <v>256</v>
      </c>
      <c r="BA22" s="947">
        <f t="shared" si="14"/>
        <v>256</v>
      </c>
      <c r="BB22" s="947">
        <f t="shared" si="14"/>
        <v>256</v>
      </c>
      <c r="BC22" s="947">
        <f t="shared" si="14"/>
        <v>256</v>
      </c>
      <c r="BD22" s="947">
        <f t="shared" si="14"/>
        <v>256</v>
      </c>
      <c r="BE22" s="947">
        <f t="shared" si="14"/>
        <v>256</v>
      </c>
      <c r="BF22" s="947">
        <f t="shared" si="14"/>
        <v>256</v>
      </c>
      <c r="BG22" s="1179">
        <f t="shared" si="14"/>
        <v>256</v>
      </c>
      <c r="BH22" s="947">
        <f t="shared" si="14"/>
        <v>256</v>
      </c>
      <c r="BI22" s="947">
        <f t="shared" si="14"/>
        <v>256</v>
      </c>
      <c r="BJ22" s="1185">
        <f t="shared" si="14"/>
        <v>256</v>
      </c>
      <c r="BK22" s="1185">
        <f t="shared" si="14"/>
        <v>256</v>
      </c>
      <c r="BL22" s="947">
        <f t="shared" si="14"/>
        <v>256</v>
      </c>
      <c r="BM22" s="947">
        <f t="shared" si="14"/>
        <v>256</v>
      </c>
      <c r="BN22" s="947">
        <f t="shared" si="14"/>
        <v>256</v>
      </c>
      <c r="BO22" s="1179">
        <f t="shared" si="14"/>
        <v>256</v>
      </c>
      <c r="BP22" s="42">
        <f>SUM(E22:BO22)</f>
        <v>12288</v>
      </c>
      <c r="BQ22" s="690">
        <f>BQ8</f>
        <v>167772.16</v>
      </c>
      <c r="BR22" s="690">
        <f t="shared" si="5"/>
        <v>2061584302.0799999</v>
      </c>
      <c r="BS22" s="80">
        <f>BS20/2</f>
        <v>3.90625E-3</v>
      </c>
      <c r="BT22" s="690">
        <f>BP22*BQ22*BS22</f>
        <v>8053063.6799999997</v>
      </c>
      <c r="BU22" s="1">
        <f>BP22*BS22</f>
        <v>48</v>
      </c>
      <c r="BX22" s="76"/>
      <c r="BY22" s="693">
        <f t="shared" si="6"/>
        <v>2032</v>
      </c>
      <c r="BZ22" s="690">
        <f t="shared" si="7"/>
        <v>121225209884436.16</v>
      </c>
      <c r="CA22" s="19">
        <f t="shared" si="4"/>
        <v>0.03</v>
      </c>
      <c r="CB22" s="693">
        <f t="shared" si="8"/>
        <v>3636756296533.0845</v>
      </c>
    </row>
    <row r="23" spans="1:80" ht="27" x14ac:dyDescent="0.3">
      <c r="A23" s="938"/>
      <c r="B23" s="1177"/>
      <c r="C23" s="1196" t="s">
        <v>662</v>
      </c>
      <c r="D23" s="938"/>
      <c r="E23" s="938"/>
      <c r="F23" s="938"/>
      <c r="G23" s="938"/>
      <c r="H23" s="947"/>
      <c r="I23" s="947"/>
      <c r="J23" s="947"/>
      <c r="K23" s="1179"/>
      <c r="L23" s="947"/>
      <c r="M23" s="947"/>
      <c r="N23" s="947"/>
      <c r="O23" s="947"/>
      <c r="P23" s="947"/>
      <c r="Q23" s="947"/>
      <c r="R23" s="947"/>
      <c r="S23" s="1179"/>
      <c r="T23" s="947" t="s">
        <v>645</v>
      </c>
      <c r="U23" s="947" t="s">
        <v>646</v>
      </c>
      <c r="V23" s="947" t="s">
        <v>647</v>
      </c>
      <c r="W23" s="947" t="s">
        <v>647</v>
      </c>
      <c r="X23" s="947" t="s">
        <v>647</v>
      </c>
      <c r="Y23" s="947" t="s">
        <v>647</v>
      </c>
      <c r="Z23" s="947" t="s">
        <v>647</v>
      </c>
      <c r="AA23" s="1179" t="s">
        <v>647</v>
      </c>
      <c r="AB23" s="947" t="s">
        <v>647</v>
      </c>
      <c r="AC23" s="947" t="s">
        <v>647</v>
      </c>
      <c r="AD23" s="947" t="s">
        <v>647</v>
      </c>
      <c r="AE23" s="947" t="s">
        <v>647</v>
      </c>
      <c r="AF23" s="947" t="s">
        <v>647</v>
      </c>
      <c r="AG23" s="947" t="s">
        <v>647</v>
      </c>
      <c r="AH23" s="947" t="s">
        <v>647</v>
      </c>
      <c r="AI23" s="1187" t="s">
        <v>647</v>
      </c>
      <c r="AJ23" s="1188" t="s">
        <v>647</v>
      </c>
      <c r="AK23" s="947" t="s">
        <v>647</v>
      </c>
      <c r="AL23" s="947" t="s">
        <v>647</v>
      </c>
      <c r="AM23" s="947" t="s">
        <v>647</v>
      </c>
      <c r="AN23" s="947" t="s">
        <v>647</v>
      </c>
      <c r="AO23" s="947" t="s">
        <v>647</v>
      </c>
      <c r="AP23" s="947" t="s">
        <v>647</v>
      </c>
      <c r="AQ23" s="1179" t="s">
        <v>647</v>
      </c>
      <c r="AR23" s="947" t="s">
        <v>647</v>
      </c>
      <c r="AS23" s="947" t="s">
        <v>647</v>
      </c>
      <c r="AT23" s="947" t="s">
        <v>647</v>
      </c>
      <c r="AU23" s="947" t="s">
        <v>647</v>
      </c>
      <c r="AV23" s="947" t="s">
        <v>647</v>
      </c>
      <c r="AW23" s="947" t="s">
        <v>647</v>
      </c>
      <c r="AX23" s="947" t="s">
        <v>647</v>
      </c>
      <c r="AY23" s="1179" t="s">
        <v>647</v>
      </c>
      <c r="AZ23" s="947" t="s">
        <v>647</v>
      </c>
      <c r="BA23" s="947" t="s">
        <v>647</v>
      </c>
      <c r="BB23" s="947" t="s">
        <v>647</v>
      </c>
      <c r="BC23" s="947" t="s">
        <v>647</v>
      </c>
      <c r="BD23" s="947" t="s">
        <v>647</v>
      </c>
      <c r="BE23" s="947" t="s">
        <v>647</v>
      </c>
      <c r="BF23" s="947" t="s">
        <v>647</v>
      </c>
      <c r="BG23" s="1179" t="s">
        <v>647</v>
      </c>
      <c r="BH23" s="947" t="s">
        <v>647</v>
      </c>
      <c r="BI23" s="947" t="s">
        <v>647</v>
      </c>
      <c r="BJ23" s="1185" t="s">
        <v>647</v>
      </c>
      <c r="BK23" s="1185" t="s">
        <v>647</v>
      </c>
      <c r="BL23" s="947" t="s">
        <v>647</v>
      </c>
      <c r="BM23" s="947" t="s">
        <v>647</v>
      </c>
      <c r="BN23" s="947" t="s">
        <v>647</v>
      </c>
      <c r="BO23" s="1179" t="s">
        <v>647</v>
      </c>
      <c r="BR23" s="690"/>
      <c r="BS23" s="81"/>
      <c r="BX23" s="76"/>
      <c r="BY23" s="693">
        <f t="shared" si="6"/>
        <v>2033</v>
      </c>
      <c r="BZ23" s="690">
        <f t="shared" si="7"/>
        <v>124861966180969.23</v>
      </c>
      <c r="CA23" s="19">
        <f t="shared" si="4"/>
        <v>0.03</v>
      </c>
      <c r="CB23" s="693">
        <f t="shared" si="8"/>
        <v>3745858985429.0767</v>
      </c>
    </row>
    <row r="24" spans="1:80" ht="13.95" customHeight="1" x14ac:dyDescent="0.3">
      <c r="A24" s="938"/>
      <c r="B24" s="1189"/>
      <c r="C24" s="938"/>
      <c r="D24" s="1044"/>
      <c r="E24" s="1044"/>
      <c r="F24" s="1044"/>
      <c r="G24" s="1044"/>
      <c r="H24" s="947"/>
      <c r="I24" s="947"/>
      <c r="J24" s="947"/>
      <c r="K24" s="1179"/>
      <c r="L24" s="947"/>
      <c r="M24" s="947"/>
      <c r="N24" s="947"/>
      <c r="O24" s="947"/>
      <c r="P24" s="947"/>
      <c r="Q24" s="947"/>
      <c r="R24" s="947"/>
      <c r="S24" s="1179"/>
      <c r="T24" s="947">
        <v>0</v>
      </c>
      <c r="U24" s="947">
        <v>0</v>
      </c>
      <c r="V24" s="947">
        <f t="shared" ref="V24:BO24" si="15">V22*2</f>
        <v>512</v>
      </c>
      <c r="W24" s="947">
        <f t="shared" si="15"/>
        <v>512</v>
      </c>
      <c r="X24" s="947">
        <f t="shared" si="15"/>
        <v>512</v>
      </c>
      <c r="Y24" s="947">
        <f t="shared" si="15"/>
        <v>512</v>
      </c>
      <c r="Z24" s="947">
        <f t="shared" si="15"/>
        <v>512</v>
      </c>
      <c r="AA24" s="1179">
        <f t="shared" si="15"/>
        <v>512</v>
      </c>
      <c r="AB24" s="947">
        <f t="shared" si="15"/>
        <v>512</v>
      </c>
      <c r="AC24" s="947">
        <f t="shared" si="15"/>
        <v>512</v>
      </c>
      <c r="AD24" s="947">
        <f t="shared" si="15"/>
        <v>512</v>
      </c>
      <c r="AE24" s="947">
        <f t="shared" si="15"/>
        <v>512</v>
      </c>
      <c r="AF24" s="947">
        <f t="shared" si="15"/>
        <v>512</v>
      </c>
      <c r="AG24" s="947">
        <f t="shared" si="15"/>
        <v>512</v>
      </c>
      <c r="AH24" s="947">
        <f t="shared" si="15"/>
        <v>512</v>
      </c>
      <c r="AI24" s="1187">
        <f t="shared" si="15"/>
        <v>512</v>
      </c>
      <c r="AJ24" s="1188">
        <f t="shared" si="15"/>
        <v>512</v>
      </c>
      <c r="AK24" s="947">
        <f t="shared" si="15"/>
        <v>512</v>
      </c>
      <c r="AL24" s="947">
        <f t="shared" si="15"/>
        <v>512</v>
      </c>
      <c r="AM24" s="947">
        <f t="shared" si="15"/>
        <v>512</v>
      </c>
      <c r="AN24" s="947">
        <f t="shared" si="15"/>
        <v>512</v>
      </c>
      <c r="AO24" s="947">
        <f t="shared" si="15"/>
        <v>512</v>
      </c>
      <c r="AP24" s="947">
        <f t="shared" si="15"/>
        <v>512</v>
      </c>
      <c r="AQ24" s="1179">
        <f t="shared" si="15"/>
        <v>512</v>
      </c>
      <c r="AR24" s="947">
        <f t="shared" si="15"/>
        <v>512</v>
      </c>
      <c r="AS24" s="947">
        <f t="shared" si="15"/>
        <v>512</v>
      </c>
      <c r="AT24" s="947">
        <f t="shared" si="15"/>
        <v>512</v>
      </c>
      <c r="AU24" s="947">
        <f t="shared" si="15"/>
        <v>512</v>
      </c>
      <c r="AV24" s="947">
        <f t="shared" si="15"/>
        <v>512</v>
      </c>
      <c r="AW24" s="947">
        <f t="shared" si="15"/>
        <v>512</v>
      </c>
      <c r="AX24" s="947">
        <f t="shared" si="15"/>
        <v>512</v>
      </c>
      <c r="AY24" s="1179">
        <f t="shared" si="15"/>
        <v>512</v>
      </c>
      <c r="AZ24" s="947">
        <f t="shared" si="15"/>
        <v>512</v>
      </c>
      <c r="BA24" s="947">
        <f t="shared" si="15"/>
        <v>512</v>
      </c>
      <c r="BB24" s="947">
        <f t="shared" si="15"/>
        <v>512</v>
      </c>
      <c r="BC24" s="947">
        <f t="shared" si="15"/>
        <v>512</v>
      </c>
      <c r="BD24" s="947">
        <f t="shared" si="15"/>
        <v>512</v>
      </c>
      <c r="BE24" s="947">
        <f t="shared" si="15"/>
        <v>512</v>
      </c>
      <c r="BF24" s="947">
        <f t="shared" si="15"/>
        <v>512</v>
      </c>
      <c r="BG24" s="1179">
        <f t="shared" si="15"/>
        <v>512</v>
      </c>
      <c r="BH24" s="947">
        <f t="shared" si="15"/>
        <v>512</v>
      </c>
      <c r="BI24" s="947">
        <f t="shared" si="15"/>
        <v>512</v>
      </c>
      <c r="BJ24" s="1185">
        <f t="shared" si="15"/>
        <v>512</v>
      </c>
      <c r="BK24" s="1185">
        <f t="shared" si="15"/>
        <v>512</v>
      </c>
      <c r="BL24" s="947">
        <f t="shared" si="15"/>
        <v>512</v>
      </c>
      <c r="BM24" s="947">
        <f t="shared" si="15"/>
        <v>512</v>
      </c>
      <c r="BN24" s="947">
        <f t="shared" si="15"/>
        <v>512</v>
      </c>
      <c r="BO24" s="1179">
        <f t="shared" si="15"/>
        <v>512</v>
      </c>
      <c r="BP24" s="42">
        <f>SUM(E24:BO24)</f>
        <v>23552</v>
      </c>
      <c r="BQ24" s="690">
        <f>BQ8</f>
        <v>167772.16</v>
      </c>
      <c r="BR24" s="690">
        <f t="shared" si="5"/>
        <v>3951369912.3200002</v>
      </c>
      <c r="BS24" s="80">
        <f>BS22/2</f>
        <v>1.953125E-3</v>
      </c>
      <c r="BT24" s="690">
        <f>BP24*BQ24*BS24</f>
        <v>7717519.3600000003</v>
      </c>
      <c r="BU24" s="1">
        <f>BP24*BS24</f>
        <v>46</v>
      </c>
      <c r="BX24" s="76"/>
      <c r="BY24" s="693">
        <f t="shared" si="6"/>
        <v>2034</v>
      </c>
      <c r="BZ24" s="690">
        <f t="shared" si="7"/>
        <v>128607825166398.31</v>
      </c>
      <c r="CA24" s="19">
        <f t="shared" si="4"/>
        <v>0.03</v>
      </c>
      <c r="CB24" s="693">
        <f t="shared" si="8"/>
        <v>3858234754991.9492</v>
      </c>
    </row>
    <row r="25" spans="1:80" ht="13.95" customHeight="1" x14ac:dyDescent="0.3">
      <c r="A25" s="938"/>
      <c r="B25" s="1177"/>
      <c r="C25" s="938" t="s">
        <v>675</v>
      </c>
      <c r="D25" s="938"/>
      <c r="E25" s="938">
        <f>BQ8</f>
        <v>167772.16</v>
      </c>
      <c r="F25" s="938"/>
      <c r="G25" s="938"/>
      <c r="H25" s="947"/>
      <c r="I25" s="947"/>
      <c r="J25" s="947"/>
      <c r="K25" s="1179"/>
      <c r="L25" s="947"/>
      <c r="M25" s="947"/>
      <c r="N25" s="1044" t="s">
        <v>664</v>
      </c>
      <c r="O25" s="938"/>
      <c r="P25" s="947"/>
      <c r="Q25" s="947"/>
      <c r="R25" s="947"/>
      <c r="S25" s="1179"/>
      <c r="T25" s="947"/>
      <c r="U25" s="947"/>
      <c r="V25" s="947" t="s">
        <v>645</v>
      </c>
      <c r="W25" s="947" t="s">
        <v>646</v>
      </c>
      <c r="X25" s="947" t="s">
        <v>647</v>
      </c>
      <c r="Y25" s="947" t="s">
        <v>647</v>
      </c>
      <c r="Z25" s="947" t="s">
        <v>647</v>
      </c>
      <c r="AA25" s="1179" t="s">
        <v>647</v>
      </c>
      <c r="AB25" s="947" t="s">
        <v>647</v>
      </c>
      <c r="AC25" s="947" t="s">
        <v>647</v>
      </c>
      <c r="AD25" s="947" t="s">
        <v>647</v>
      </c>
      <c r="AE25" s="947" t="s">
        <v>647</v>
      </c>
      <c r="AF25" s="947" t="s">
        <v>647</v>
      </c>
      <c r="AG25" s="947" t="s">
        <v>647</v>
      </c>
      <c r="AH25" s="947" t="s">
        <v>647</v>
      </c>
      <c r="AI25" s="1187" t="s">
        <v>647</v>
      </c>
      <c r="AJ25" s="1188" t="s">
        <v>647</v>
      </c>
      <c r="AK25" s="947" t="s">
        <v>647</v>
      </c>
      <c r="AL25" s="947" t="s">
        <v>647</v>
      </c>
      <c r="AM25" s="947" t="s">
        <v>647</v>
      </c>
      <c r="AN25" s="947" t="s">
        <v>647</v>
      </c>
      <c r="AO25" s="947" t="s">
        <v>647</v>
      </c>
      <c r="AP25" s="947" t="s">
        <v>647</v>
      </c>
      <c r="AQ25" s="1179" t="s">
        <v>647</v>
      </c>
      <c r="AR25" s="947" t="s">
        <v>647</v>
      </c>
      <c r="AS25" s="947" t="s">
        <v>647</v>
      </c>
      <c r="AT25" s="947" t="s">
        <v>647</v>
      </c>
      <c r="AU25" s="947" t="s">
        <v>647</v>
      </c>
      <c r="AV25" s="947" t="s">
        <v>647</v>
      </c>
      <c r="AW25" s="947" t="s">
        <v>647</v>
      </c>
      <c r="AX25" s="947" t="s">
        <v>647</v>
      </c>
      <c r="AY25" s="1179" t="s">
        <v>647</v>
      </c>
      <c r="AZ25" s="947" t="s">
        <v>647</v>
      </c>
      <c r="BA25" s="947" t="s">
        <v>647</v>
      </c>
      <c r="BB25" s="947" t="s">
        <v>647</v>
      </c>
      <c r="BC25" s="947" t="s">
        <v>647</v>
      </c>
      <c r="BD25" s="947" t="s">
        <v>647</v>
      </c>
      <c r="BE25" s="947" t="s">
        <v>647</v>
      </c>
      <c r="BF25" s="947" t="s">
        <v>647</v>
      </c>
      <c r="BG25" s="1179" t="s">
        <v>647</v>
      </c>
      <c r="BH25" s="947" t="s">
        <v>647</v>
      </c>
      <c r="BI25" s="947" t="s">
        <v>647</v>
      </c>
      <c r="BJ25" s="1185" t="s">
        <v>647</v>
      </c>
      <c r="BK25" s="1185" t="s">
        <v>647</v>
      </c>
      <c r="BL25" s="947" t="s">
        <v>647</v>
      </c>
      <c r="BM25" s="947" t="s">
        <v>647</v>
      </c>
      <c r="BN25" s="947" t="s">
        <v>647</v>
      </c>
      <c r="BO25" s="1179" t="s">
        <v>647</v>
      </c>
      <c r="BR25" s="690"/>
      <c r="BS25" s="81"/>
      <c r="BX25" s="76"/>
      <c r="BY25" s="693">
        <f t="shared" si="6"/>
        <v>2035</v>
      </c>
      <c r="BZ25" s="690">
        <f t="shared" si="7"/>
        <v>132466059921390.27</v>
      </c>
      <c r="CA25" s="19">
        <f t="shared" si="4"/>
        <v>0.03</v>
      </c>
      <c r="CB25" s="693">
        <f t="shared" si="8"/>
        <v>3973981797641.708</v>
      </c>
    </row>
    <row r="26" spans="1:80" ht="13.95" customHeight="1" x14ac:dyDescent="0.3">
      <c r="A26" s="938"/>
      <c r="B26" s="1177"/>
      <c r="C26" s="1197"/>
      <c r="D26" s="1030"/>
      <c r="E26" s="1030"/>
      <c r="F26" s="1030"/>
      <c r="G26" s="1030"/>
      <c r="H26" s="947"/>
      <c r="I26" s="947"/>
      <c r="J26" s="947"/>
      <c r="K26" s="1179"/>
      <c r="L26" s="947"/>
      <c r="M26" s="947"/>
      <c r="N26" s="947"/>
      <c r="O26" s="947"/>
      <c r="P26" s="947"/>
      <c r="Q26" s="947"/>
      <c r="R26" s="947"/>
      <c r="S26" s="1179"/>
      <c r="T26" s="947"/>
      <c r="U26" s="947"/>
      <c r="V26" s="947">
        <v>0</v>
      </c>
      <c r="W26" s="947">
        <v>0</v>
      </c>
      <c r="X26" s="947">
        <f t="shared" ref="X26:BO26" si="16">X24*2</f>
        <v>1024</v>
      </c>
      <c r="Y26" s="947">
        <f t="shared" si="16"/>
        <v>1024</v>
      </c>
      <c r="Z26" s="947">
        <f t="shared" si="16"/>
        <v>1024</v>
      </c>
      <c r="AA26" s="1179">
        <f t="shared" si="16"/>
        <v>1024</v>
      </c>
      <c r="AB26" s="947">
        <f t="shared" si="16"/>
        <v>1024</v>
      </c>
      <c r="AC26" s="947">
        <f t="shared" si="16"/>
        <v>1024</v>
      </c>
      <c r="AD26" s="947">
        <f t="shared" si="16"/>
        <v>1024</v>
      </c>
      <c r="AE26" s="947">
        <f t="shared" si="16"/>
        <v>1024</v>
      </c>
      <c r="AF26" s="947">
        <f t="shared" si="16"/>
        <v>1024</v>
      </c>
      <c r="AG26" s="947">
        <f t="shared" si="16"/>
        <v>1024</v>
      </c>
      <c r="AH26" s="947">
        <f t="shared" si="16"/>
        <v>1024</v>
      </c>
      <c r="AI26" s="1187">
        <f t="shared" si="16"/>
        <v>1024</v>
      </c>
      <c r="AJ26" s="1188">
        <f t="shared" si="16"/>
        <v>1024</v>
      </c>
      <c r="AK26" s="947">
        <f t="shared" si="16"/>
        <v>1024</v>
      </c>
      <c r="AL26" s="947">
        <f t="shared" si="16"/>
        <v>1024</v>
      </c>
      <c r="AM26" s="947">
        <f t="shared" si="16"/>
        <v>1024</v>
      </c>
      <c r="AN26" s="947">
        <f t="shared" si="16"/>
        <v>1024</v>
      </c>
      <c r="AO26" s="947">
        <f t="shared" si="16"/>
        <v>1024</v>
      </c>
      <c r="AP26" s="947">
        <f t="shared" si="16"/>
        <v>1024</v>
      </c>
      <c r="AQ26" s="1179">
        <f t="shared" si="16"/>
        <v>1024</v>
      </c>
      <c r="AR26" s="947">
        <f t="shared" si="16"/>
        <v>1024</v>
      </c>
      <c r="AS26" s="947">
        <f t="shared" si="16"/>
        <v>1024</v>
      </c>
      <c r="AT26" s="947">
        <f t="shared" si="16"/>
        <v>1024</v>
      </c>
      <c r="AU26" s="947">
        <f t="shared" si="16"/>
        <v>1024</v>
      </c>
      <c r="AV26" s="947">
        <f t="shared" si="16"/>
        <v>1024</v>
      </c>
      <c r="AW26" s="947">
        <f t="shared" si="16"/>
        <v>1024</v>
      </c>
      <c r="AX26" s="947">
        <f t="shared" si="16"/>
        <v>1024</v>
      </c>
      <c r="AY26" s="1179">
        <f t="shared" si="16"/>
        <v>1024</v>
      </c>
      <c r="AZ26" s="947">
        <f t="shared" si="16"/>
        <v>1024</v>
      </c>
      <c r="BA26" s="947">
        <f t="shared" si="16"/>
        <v>1024</v>
      </c>
      <c r="BB26" s="947">
        <f t="shared" si="16"/>
        <v>1024</v>
      </c>
      <c r="BC26" s="947">
        <f t="shared" si="16"/>
        <v>1024</v>
      </c>
      <c r="BD26" s="947">
        <f t="shared" si="16"/>
        <v>1024</v>
      </c>
      <c r="BE26" s="947">
        <f t="shared" si="16"/>
        <v>1024</v>
      </c>
      <c r="BF26" s="947">
        <f t="shared" si="16"/>
        <v>1024</v>
      </c>
      <c r="BG26" s="1179">
        <f t="shared" si="16"/>
        <v>1024</v>
      </c>
      <c r="BH26" s="947">
        <f t="shared" si="16"/>
        <v>1024</v>
      </c>
      <c r="BI26" s="947">
        <f t="shared" si="16"/>
        <v>1024</v>
      </c>
      <c r="BJ26" s="1185">
        <f t="shared" si="16"/>
        <v>1024</v>
      </c>
      <c r="BK26" s="1185">
        <f t="shared" si="16"/>
        <v>1024</v>
      </c>
      <c r="BL26" s="947">
        <f t="shared" si="16"/>
        <v>1024</v>
      </c>
      <c r="BM26" s="947">
        <f t="shared" si="16"/>
        <v>1024</v>
      </c>
      <c r="BN26" s="947">
        <f t="shared" si="16"/>
        <v>1024</v>
      </c>
      <c r="BO26" s="1179">
        <f t="shared" si="16"/>
        <v>1024</v>
      </c>
      <c r="BP26" s="42">
        <f>SUM(D26:BO26)</f>
        <v>45056</v>
      </c>
      <c r="BQ26" s="690">
        <f>BQ8</f>
        <v>167772.16</v>
      </c>
      <c r="BR26" s="690">
        <f t="shared" si="5"/>
        <v>7559142440.96</v>
      </c>
      <c r="BS26" s="80">
        <f>BS24/2</f>
        <v>9.765625E-4</v>
      </c>
      <c r="BT26" s="690">
        <f>BP26*BQ26*BS26</f>
        <v>7381975.04</v>
      </c>
      <c r="BU26" s="1">
        <f>BP26*BS26</f>
        <v>44</v>
      </c>
      <c r="BX26" s="76"/>
      <c r="BY26" s="693">
        <f t="shared" si="6"/>
        <v>2036</v>
      </c>
      <c r="BZ26" s="690">
        <f t="shared" si="7"/>
        <v>136440041719031.97</v>
      </c>
      <c r="CA26" s="19">
        <f t="shared" si="4"/>
        <v>0.03</v>
      </c>
      <c r="CB26" s="693">
        <f t="shared" si="8"/>
        <v>4093201251570.959</v>
      </c>
    </row>
    <row r="27" spans="1:80" ht="27" x14ac:dyDescent="0.3">
      <c r="A27" s="938"/>
      <c r="B27" s="1177"/>
      <c r="C27" s="1196" t="s">
        <v>812</v>
      </c>
      <c r="D27" s="947"/>
      <c r="E27" s="947"/>
      <c r="F27" s="947"/>
      <c r="G27" s="947"/>
      <c r="H27" s="947"/>
      <c r="I27" s="947"/>
      <c r="J27" s="947"/>
      <c r="K27" s="1179"/>
      <c r="L27" s="947"/>
      <c r="M27" s="947"/>
      <c r="N27" s="947"/>
      <c r="O27" s="947"/>
      <c r="P27" s="947"/>
      <c r="Q27" s="947"/>
      <c r="R27" s="947"/>
      <c r="S27" s="1179"/>
      <c r="T27" s="947"/>
      <c r="U27" s="947"/>
      <c r="V27" s="947"/>
      <c r="W27" s="947"/>
      <c r="X27" s="947" t="s">
        <v>645</v>
      </c>
      <c r="Y27" s="947" t="s">
        <v>646</v>
      </c>
      <c r="Z27" s="947" t="s">
        <v>647</v>
      </c>
      <c r="AA27" s="1179" t="s">
        <v>647</v>
      </c>
      <c r="AB27" s="947" t="s">
        <v>647</v>
      </c>
      <c r="AC27" s="947" t="s">
        <v>647</v>
      </c>
      <c r="AD27" s="947" t="s">
        <v>647</v>
      </c>
      <c r="AE27" s="947" t="s">
        <v>647</v>
      </c>
      <c r="AF27" s="947" t="s">
        <v>647</v>
      </c>
      <c r="AG27" s="947" t="s">
        <v>647</v>
      </c>
      <c r="AH27" s="947" t="s">
        <v>647</v>
      </c>
      <c r="AI27" s="1187" t="s">
        <v>647</v>
      </c>
      <c r="AJ27" s="1188" t="s">
        <v>647</v>
      </c>
      <c r="AK27" s="947" t="s">
        <v>647</v>
      </c>
      <c r="AL27" s="947" t="s">
        <v>647</v>
      </c>
      <c r="AM27" s="947" t="s">
        <v>647</v>
      </c>
      <c r="AN27" s="947" t="s">
        <v>647</v>
      </c>
      <c r="AO27" s="947" t="s">
        <v>647</v>
      </c>
      <c r="AP27" s="947" t="s">
        <v>647</v>
      </c>
      <c r="AQ27" s="1179" t="s">
        <v>647</v>
      </c>
      <c r="AR27" s="947" t="s">
        <v>647</v>
      </c>
      <c r="AS27" s="947" t="s">
        <v>647</v>
      </c>
      <c r="AT27" s="947" t="s">
        <v>647</v>
      </c>
      <c r="AU27" s="947" t="s">
        <v>647</v>
      </c>
      <c r="AV27" s="947" t="s">
        <v>647</v>
      </c>
      <c r="AW27" s="947" t="s">
        <v>647</v>
      </c>
      <c r="AX27" s="947" t="s">
        <v>647</v>
      </c>
      <c r="AY27" s="1179" t="s">
        <v>647</v>
      </c>
      <c r="AZ27" s="947" t="s">
        <v>647</v>
      </c>
      <c r="BA27" s="947" t="s">
        <v>647</v>
      </c>
      <c r="BB27" s="947" t="s">
        <v>647</v>
      </c>
      <c r="BC27" s="947" t="s">
        <v>647</v>
      </c>
      <c r="BD27" s="947" t="s">
        <v>647</v>
      </c>
      <c r="BE27" s="947" t="s">
        <v>647</v>
      </c>
      <c r="BF27" s="947" t="s">
        <v>647</v>
      </c>
      <c r="BG27" s="1179" t="s">
        <v>647</v>
      </c>
      <c r="BH27" s="947" t="s">
        <v>647</v>
      </c>
      <c r="BI27" s="947" t="s">
        <v>647</v>
      </c>
      <c r="BJ27" s="1185" t="s">
        <v>647</v>
      </c>
      <c r="BK27" s="1185" t="s">
        <v>647</v>
      </c>
      <c r="BL27" s="947" t="s">
        <v>647</v>
      </c>
      <c r="BM27" s="947" t="s">
        <v>647</v>
      </c>
      <c r="BN27" s="947" t="s">
        <v>647</v>
      </c>
      <c r="BO27" s="1179" t="s">
        <v>647</v>
      </c>
      <c r="BR27" s="690"/>
      <c r="BS27" s="81"/>
      <c r="BX27" s="76"/>
      <c r="BY27" s="693">
        <f t="shared" si="6"/>
        <v>2037</v>
      </c>
      <c r="BZ27" s="690">
        <f t="shared" si="7"/>
        <v>140533242970602.92</v>
      </c>
      <c r="CA27" s="19">
        <f t="shared" si="4"/>
        <v>0.03</v>
      </c>
      <c r="CB27" s="693">
        <f t="shared" si="8"/>
        <v>4215997289118.0874</v>
      </c>
    </row>
    <row r="28" spans="1:80" ht="13.95" customHeight="1" x14ac:dyDescent="0.3">
      <c r="A28" s="942"/>
      <c r="B28" s="1177"/>
      <c r="C28" s="938"/>
      <c r="D28" s="947"/>
      <c r="E28" s="947"/>
      <c r="F28" s="947"/>
      <c r="G28" s="947"/>
      <c r="H28" s="947"/>
      <c r="I28" s="947"/>
      <c r="J28" s="947"/>
      <c r="K28" s="1179"/>
      <c r="L28" s="947"/>
      <c r="M28" s="947"/>
      <c r="N28" s="947"/>
      <c r="O28" s="947"/>
      <c r="P28" s="947"/>
      <c r="Q28" s="947"/>
      <c r="R28" s="947"/>
      <c r="S28" s="1179"/>
      <c r="T28" s="947"/>
      <c r="U28" s="947"/>
      <c r="V28" s="947"/>
      <c r="W28" s="947"/>
      <c r="X28" s="947">
        <v>0</v>
      </c>
      <c r="Y28" s="947">
        <v>0</v>
      </c>
      <c r="Z28" s="947">
        <f t="shared" ref="Z28:BO28" si="17">Z26*2</f>
        <v>2048</v>
      </c>
      <c r="AA28" s="1179">
        <f t="shared" si="17"/>
        <v>2048</v>
      </c>
      <c r="AB28" s="947">
        <f t="shared" si="17"/>
        <v>2048</v>
      </c>
      <c r="AC28" s="947">
        <f t="shared" si="17"/>
        <v>2048</v>
      </c>
      <c r="AD28" s="947">
        <f t="shared" si="17"/>
        <v>2048</v>
      </c>
      <c r="AE28" s="947">
        <f t="shared" si="17"/>
        <v>2048</v>
      </c>
      <c r="AF28" s="947">
        <f t="shared" si="17"/>
        <v>2048</v>
      </c>
      <c r="AG28" s="947">
        <f t="shared" si="17"/>
        <v>2048</v>
      </c>
      <c r="AH28" s="947">
        <f t="shared" si="17"/>
        <v>2048</v>
      </c>
      <c r="AI28" s="1187">
        <f t="shared" si="17"/>
        <v>2048</v>
      </c>
      <c r="AJ28" s="1188">
        <f t="shared" si="17"/>
        <v>2048</v>
      </c>
      <c r="AK28" s="947">
        <f t="shared" si="17"/>
        <v>2048</v>
      </c>
      <c r="AL28" s="947">
        <f t="shared" si="17"/>
        <v>2048</v>
      </c>
      <c r="AM28" s="947">
        <f t="shared" si="17"/>
        <v>2048</v>
      </c>
      <c r="AN28" s="947">
        <f t="shared" si="17"/>
        <v>2048</v>
      </c>
      <c r="AO28" s="947">
        <f t="shared" si="17"/>
        <v>2048</v>
      </c>
      <c r="AP28" s="947">
        <f t="shared" si="17"/>
        <v>2048</v>
      </c>
      <c r="AQ28" s="1179">
        <f t="shared" si="17"/>
        <v>2048</v>
      </c>
      <c r="AR28" s="947">
        <f t="shared" si="17"/>
        <v>2048</v>
      </c>
      <c r="AS28" s="947">
        <f t="shared" si="17"/>
        <v>2048</v>
      </c>
      <c r="AT28" s="947">
        <f t="shared" si="17"/>
        <v>2048</v>
      </c>
      <c r="AU28" s="947">
        <f t="shared" si="17"/>
        <v>2048</v>
      </c>
      <c r="AV28" s="947">
        <f t="shared" si="17"/>
        <v>2048</v>
      </c>
      <c r="AW28" s="947">
        <f t="shared" si="17"/>
        <v>2048</v>
      </c>
      <c r="AX28" s="947">
        <f t="shared" si="17"/>
        <v>2048</v>
      </c>
      <c r="AY28" s="1179">
        <f t="shared" si="17"/>
        <v>2048</v>
      </c>
      <c r="AZ28" s="947">
        <f t="shared" si="17"/>
        <v>2048</v>
      </c>
      <c r="BA28" s="947">
        <f t="shared" si="17"/>
        <v>2048</v>
      </c>
      <c r="BB28" s="947">
        <f t="shared" si="17"/>
        <v>2048</v>
      </c>
      <c r="BC28" s="947">
        <f t="shared" si="17"/>
        <v>2048</v>
      </c>
      <c r="BD28" s="947">
        <f t="shared" si="17"/>
        <v>2048</v>
      </c>
      <c r="BE28" s="947">
        <f t="shared" si="17"/>
        <v>2048</v>
      </c>
      <c r="BF28" s="947">
        <f t="shared" si="17"/>
        <v>2048</v>
      </c>
      <c r="BG28" s="1179">
        <f t="shared" si="17"/>
        <v>2048</v>
      </c>
      <c r="BH28" s="947">
        <f t="shared" si="17"/>
        <v>2048</v>
      </c>
      <c r="BI28" s="947">
        <f t="shared" si="17"/>
        <v>2048</v>
      </c>
      <c r="BJ28" s="1185">
        <f t="shared" si="17"/>
        <v>2048</v>
      </c>
      <c r="BK28" s="1185">
        <f t="shared" si="17"/>
        <v>2048</v>
      </c>
      <c r="BL28" s="947">
        <f t="shared" si="17"/>
        <v>2048</v>
      </c>
      <c r="BM28" s="947">
        <f t="shared" si="17"/>
        <v>2048</v>
      </c>
      <c r="BN28" s="947">
        <f t="shared" si="17"/>
        <v>2048</v>
      </c>
      <c r="BO28" s="1179">
        <f t="shared" si="17"/>
        <v>2048</v>
      </c>
      <c r="BP28" s="42">
        <f>SUM(D28:BO28)</f>
        <v>86016</v>
      </c>
      <c r="BQ28" s="690">
        <f>BQ8</f>
        <v>167772.16</v>
      </c>
      <c r="BR28" s="690">
        <f t="shared" si="5"/>
        <v>14431090114.559999</v>
      </c>
      <c r="BS28" s="80">
        <f>BS26/2</f>
        <v>4.8828125E-4</v>
      </c>
      <c r="BT28" s="690">
        <f>BP28*BQ28*BS28</f>
        <v>7046430.7199999997</v>
      </c>
      <c r="BU28" s="1">
        <f>BP28*BS28</f>
        <v>42</v>
      </c>
      <c r="BX28" s="76"/>
      <c r="BY28" s="693">
        <f t="shared" si="6"/>
        <v>2038</v>
      </c>
      <c r="BZ28" s="690">
        <f t="shared" si="7"/>
        <v>144749240259721</v>
      </c>
      <c r="CA28" s="19">
        <f t="shared" si="4"/>
        <v>0.03</v>
      </c>
      <c r="CB28" s="693">
        <f t="shared" si="8"/>
        <v>4342477207791.6299</v>
      </c>
    </row>
    <row r="29" spans="1:80" ht="13.95" customHeight="1" x14ac:dyDescent="0.35">
      <c r="A29" s="938"/>
      <c r="B29" s="1177"/>
      <c r="C29" s="1198" t="s">
        <v>814</v>
      </c>
      <c r="D29" s="947"/>
      <c r="E29" s="947"/>
      <c r="F29" s="947"/>
      <c r="G29" s="947"/>
      <c r="H29" s="947"/>
      <c r="I29" s="947"/>
      <c r="J29" s="947"/>
      <c r="K29" s="1179"/>
      <c r="L29" s="947"/>
      <c r="M29" s="947"/>
      <c r="N29" s="947"/>
      <c r="O29" s="947"/>
      <c r="P29" s="947"/>
      <c r="Q29" s="947"/>
      <c r="R29" s="947"/>
      <c r="S29" s="1179"/>
      <c r="T29" s="947"/>
      <c r="U29" s="947"/>
      <c r="V29" s="947"/>
      <c r="W29" s="947"/>
      <c r="X29" s="947"/>
      <c r="Y29" s="947"/>
      <c r="Z29" s="947" t="s">
        <v>645</v>
      </c>
      <c r="AA29" s="1179" t="s">
        <v>646</v>
      </c>
      <c r="AB29" s="947" t="s">
        <v>647</v>
      </c>
      <c r="AC29" s="947" t="s">
        <v>647</v>
      </c>
      <c r="AD29" s="947" t="s">
        <v>647</v>
      </c>
      <c r="AE29" s="947" t="s">
        <v>647</v>
      </c>
      <c r="AF29" s="947" t="s">
        <v>647</v>
      </c>
      <c r="AG29" s="947" t="s">
        <v>647</v>
      </c>
      <c r="AH29" s="947" t="s">
        <v>647</v>
      </c>
      <c r="AI29" s="1187" t="s">
        <v>647</v>
      </c>
      <c r="AJ29" s="1188" t="s">
        <v>647</v>
      </c>
      <c r="AK29" s="947" t="s">
        <v>647</v>
      </c>
      <c r="AL29" s="947" t="s">
        <v>647</v>
      </c>
      <c r="AM29" s="947" t="s">
        <v>647</v>
      </c>
      <c r="AN29" s="947" t="s">
        <v>647</v>
      </c>
      <c r="AO29" s="947" t="s">
        <v>647</v>
      </c>
      <c r="AP29" s="947" t="s">
        <v>647</v>
      </c>
      <c r="AQ29" s="1179" t="s">
        <v>647</v>
      </c>
      <c r="AR29" s="947" t="s">
        <v>647</v>
      </c>
      <c r="AS29" s="947" t="s">
        <v>647</v>
      </c>
      <c r="AT29" s="947" t="s">
        <v>647</v>
      </c>
      <c r="AU29" s="947" t="s">
        <v>647</v>
      </c>
      <c r="AV29" s="947" t="s">
        <v>647</v>
      </c>
      <c r="AW29" s="947" t="s">
        <v>647</v>
      </c>
      <c r="AX29" s="947" t="s">
        <v>647</v>
      </c>
      <c r="AY29" s="1179" t="s">
        <v>647</v>
      </c>
      <c r="AZ29" s="947" t="s">
        <v>647</v>
      </c>
      <c r="BA29" s="947" t="s">
        <v>647</v>
      </c>
      <c r="BB29" s="947" t="s">
        <v>647</v>
      </c>
      <c r="BC29" s="947" t="s">
        <v>647</v>
      </c>
      <c r="BD29" s="947" t="s">
        <v>647</v>
      </c>
      <c r="BE29" s="947" t="s">
        <v>647</v>
      </c>
      <c r="BF29" s="947" t="s">
        <v>647</v>
      </c>
      <c r="BG29" s="1179" t="s">
        <v>647</v>
      </c>
      <c r="BH29" s="947" t="s">
        <v>647</v>
      </c>
      <c r="BI29" s="947" t="s">
        <v>647</v>
      </c>
      <c r="BJ29" s="1185" t="s">
        <v>647</v>
      </c>
      <c r="BK29" s="1185" t="s">
        <v>647</v>
      </c>
      <c r="BL29" s="947" t="s">
        <v>647</v>
      </c>
      <c r="BM29" s="947" t="s">
        <v>647</v>
      </c>
      <c r="BN29" s="947" t="s">
        <v>647</v>
      </c>
      <c r="BO29" s="1179" t="s">
        <v>647</v>
      </c>
      <c r="BR29" s="690"/>
      <c r="BS29" s="81"/>
      <c r="BX29" s="76"/>
      <c r="BY29" s="693">
        <f t="shared" si="6"/>
        <v>2039</v>
      </c>
      <c r="BZ29" s="690">
        <f t="shared" si="7"/>
        <v>149091717467512.63</v>
      </c>
      <c r="CA29" s="19">
        <f t="shared" si="4"/>
        <v>0.03</v>
      </c>
      <c r="CB29" s="693">
        <f t="shared" si="8"/>
        <v>4472751524025.3789</v>
      </c>
    </row>
    <row r="30" spans="1:80" ht="13.95" customHeight="1" x14ac:dyDescent="0.35">
      <c r="A30" s="938"/>
      <c r="B30" s="1177"/>
      <c r="C30" s="1198"/>
      <c r="D30" s="947"/>
      <c r="E30" s="947"/>
      <c r="F30" s="947"/>
      <c r="G30" s="947"/>
      <c r="H30" s="947"/>
      <c r="I30" s="947"/>
      <c r="J30" s="947"/>
      <c r="K30" s="1179"/>
      <c r="L30" s="947"/>
      <c r="M30" s="947"/>
      <c r="N30" s="947"/>
      <c r="O30" s="947"/>
      <c r="P30" s="947"/>
      <c r="Q30" s="947"/>
      <c r="R30" s="947"/>
      <c r="S30" s="1179"/>
      <c r="T30" s="947"/>
      <c r="U30" s="947"/>
      <c r="V30" s="947"/>
      <c r="W30" s="947"/>
      <c r="X30" s="947"/>
      <c r="Y30" s="947"/>
      <c r="Z30" s="947">
        <v>0</v>
      </c>
      <c r="AA30" s="1179">
        <v>0</v>
      </c>
      <c r="AB30" s="947">
        <f t="shared" ref="AB30:BO30" si="18">AB28*2</f>
        <v>4096</v>
      </c>
      <c r="AC30" s="947">
        <f t="shared" si="18"/>
        <v>4096</v>
      </c>
      <c r="AD30" s="947">
        <f t="shared" si="18"/>
        <v>4096</v>
      </c>
      <c r="AE30" s="947">
        <f t="shared" si="18"/>
        <v>4096</v>
      </c>
      <c r="AF30" s="947">
        <f t="shared" si="18"/>
        <v>4096</v>
      </c>
      <c r="AG30" s="947">
        <f t="shared" si="18"/>
        <v>4096</v>
      </c>
      <c r="AH30" s="947">
        <f t="shared" si="18"/>
        <v>4096</v>
      </c>
      <c r="AI30" s="1187">
        <f t="shared" si="18"/>
        <v>4096</v>
      </c>
      <c r="AJ30" s="1188">
        <f t="shared" si="18"/>
        <v>4096</v>
      </c>
      <c r="AK30" s="947">
        <f t="shared" si="18"/>
        <v>4096</v>
      </c>
      <c r="AL30" s="947">
        <f t="shared" si="18"/>
        <v>4096</v>
      </c>
      <c r="AM30" s="947">
        <f t="shared" si="18"/>
        <v>4096</v>
      </c>
      <c r="AN30" s="947">
        <f t="shared" si="18"/>
        <v>4096</v>
      </c>
      <c r="AO30" s="947">
        <f t="shared" si="18"/>
        <v>4096</v>
      </c>
      <c r="AP30" s="947">
        <f t="shared" si="18"/>
        <v>4096</v>
      </c>
      <c r="AQ30" s="1179">
        <f t="shared" si="18"/>
        <v>4096</v>
      </c>
      <c r="AR30" s="947">
        <f t="shared" si="18"/>
        <v>4096</v>
      </c>
      <c r="AS30" s="947">
        <f t="shared" si="18"/>
        <v>4096</v>
      </c>
      <c r="AT30" s="947">
        <f t="shared" si="18"/>
        <v>4096</v>
      </c>
      <c r="AU30" s="947">
        <f t="shared" si="18"/>
        <v>4096</v>
      </c>
      <c r="AV30" s="947">
        <f t="shared" si="18"/>
        <v>4096</v>
      </c>
      <c r="AW30" s="947">
        <f t="shared" si="18"/>
        <v>4096</v>
      </c>
      <c r="AX30" s="947">
        <f t="shared" si="18"/>
        <v>4096</v>
      </c>
      <c r="AY30" s="1179">
        <f t="shared" si="18"/>
        <v>4096</v>
      </c>
      <c r="AZ30" s="947">
        <f t="shared" si="18"/>
        <v>4096</v>
      </c>
      <c r="BA30" s="947">
        <f t="shared" si="18"/>
        <v>4096</v>
      </c>
      <c r="BB30" s="947">
        <f t="shared" si="18"/>
        <v>4096</v>
      </c>
      <c r="BC30" s="947">
        <f t="shared" si="18"/>
        <v>4096</v>
      </c>
      <c r="BD30" s="947">
        <f t="shared" si="18"/>
        <v>4096</v>
      </c>
      <c r="BE30" s="947">
        <f t="shared" si="18"/>
        <v>4096</v>
      </c>
      <c r="BF30" s="947">
        <f t="shared" si="18"/>
        <v>4096</v>
      </c>
      <c r="BG30" s="1179">
        <f t="shared" si="18"/>
        <v>4096</v>
      </c>
      <c r="BH30" s="947">
        <f t="shared" si="18"/>
        <v>4096</v>
      </c>
      <c r="BI30" s="947">
        <f t="shared" si="18"/>
        <v>4096</v>
      </c>
      <c r="BJ30" s="1185">
        <f t="shared" si="18"/>
        <v>4096</v>
      </c>
      <c r="BK30" s="1185">
        <f t="shared" si="18"/>
        <v>4096</v>
      </c>
      <c r="BL30" s="947">
        <f t="shared" si="18"/>
        <v>4096</v>
      </c>
      <c r="BM30" s="947">
        <f t="shared" si="18"/>
        <v>4096</v>
      </c>
      <c r="BN30" s="947">
        <f t="shared" si="18"/>
        <v>4096</v>
      </c>
      <c r="BO30" s="1179">
        <f t="shared" si="18"/>
        <v>4096</v>
      </c>
      <c r="BP30" s="42">
        <f>SUM(D30:BO30)</f>
        <v>163840</v>
      </c>
      <c r="BQ30" s="690">
        <f>BQ8</f>
        <v>167772.16</v>
      </c>
      <c r="BR30" s="690">
        <f t="shared" si="5"/>
        <v>27487790694.400002</v>
      </c>
      <c r="BS30" s="80">
        <f>BS28/2</f>
        <v>2.44140625E-4</v>
      </c>
      <c r="BT30" s="690">
        <f>BP30*BQ30*BS30</f>
        <v>6710886.4000000004</v>
      </c>
      <c r="BU30" s="1">
        <f>BP30*BS30</f>
        <v>40</v>
      </c>
      <c r="BX30" s="76"/>
      <c r="BY30" s="693">
        <f t="shared" si="6"/>
        <v>2040</v>
      </c>
      <c r="BZ30" s="690">
        <f t="shared" si="7"/>
        <v>153564468991538</v>
      </c>
      <c r="CA30" s="19">
        <f t="shared" si="4"/>
        <v>0.03</v>
      </c>
      <c r="CB30" s="693">
        <f t="shared" si="8"/>
        <v>4606934069746.1396</v>
      </c>
    </row>
    <row r="31" spans="1:80" ht="13.95" customHeight="1" x14ac:dyDescent="0.35">
      <c r="A31" s="938"/>
      <c r="B31" s="1177"/>
      <c r="C31" s="1198" t="s">
        <v>813</v>
      </c>
      <c r="D31" s="947"/>
      <c r="E31" s="947"/>
      <c r="F31" s="947"/>
      <c r="G31" s="947"/>
      <c r="H31" s="947"/>
      <c r="I31" s="947"/>
      <c r="J31" s="947"/>
      <c r="K31" s="1179"/>
      <c r="L31" s="947"/>
      <c r="M31" s="947"/>
      <c r="N31" s="947"/>
      <c r="O31" s="947"/>
      <c r="P31" s="947"/>
      <c r="Q31" s="947"/>
      <c r="R31" s="947"/>
      <c r="S31" s="1179"/>
      <c r="T31" s="947"/>
      <c r="U31" s="947"/>
      <c r="V31" s="947"/>
      <c r="W31" s="947"/>
      <c r="X31" s="947"/>
      <c r="Y31" s="947"/>
      <c r="Z31" s="947"/>
      <c r="AA31" s="1179"/>
      <c r="AB31" s="947" t="s">
        <v>645</v>
      </c>
      <c r="AC31" s="947" t="s">
        <v>646</v>
      </c>
      <c r="AD31" s="947" t="s">
        <v>647</v>
      </c>
      <c r="AE31" s="947" t="s">
        <v>647</v>
      </c>
      <c r="AF31" s="947" t="s">
        <v>647</v>
      </c>
      <c r="AG31" s="947" t="s">
        <v>647</v>
      </c>
      <c r="AH31" s="947" t="s">
        <v>647</v>
      </c>
      <c r="AI31" s="1187" t="s">
        <v>647</v>
      </c>
      <c r="AJ31" s="1188" t="s">
        <v>647</v>
      </c>
      <c r="AK31" s="947" t="s">
        <v>647</v>
      </c>
      <c r="AL31" s="947" t="s">
        <v>647</v>
      </c>
      <c r="AM31" s="947" t="s">
        <v>647</v>
      </c>
      <c r="AN31" s="947" t="s">
        <v>647</v>
      </c>
      <c r="AO31" s="947" t="s">
        <v>647</v>
      </c>
      <c r="AP31" s="947" t="s">
        <v>647</v>
      </c>
      <c r="AQ31" s="1179" t="s">
        <v>647</v>
      </c>
      <c r="AR31" s="947" t="s">
        <v>647</v>
      </c>
      <c r="AS31" s="947" t="s">
        <v>647</v>
      </c>
      <c r="AT31" s="947" t="s">
        <v>647</v>
      </c>
      <c r="AU31" s="947" t="s">
        <v>647</v>
      </c>
      <c r="AV31" s="947" t="s">
        <v>647</v>
      </c>
      <c r="AW31" s="947" t="s">
        <v>647</v>
      </c>
      <c r="AX31" s="947" t="s">
        <v>647</v>
      </c>
      <c r="AY31" s="1179" t="s">
        <v>647</v>
      </c>
      <c r="AZ31" s="947" t="s">
        <v>647</v>
      </c>
      <c r="BA31" s="947" t="s">
        <v>647</v>
      </c>
      <c r="BB31" s="947" t="s">
        <v>647</v>
      </c>
      <c r="BC31" s="947" t="s">
        <v>647</v>
      </c>
      <c r="BD31" s="947" t="s">
        <v>647</v>
      </c>
      <c r="BE31" s="947" t="s">
        <v>647</v>
      </c>
      <c r="BF31" s="947" t="s">
        <v>647</v>
      </c>
      <c r="BG31" s="1179" t="s">
        <v>647</v>
      </c>
      <c r="BH31" s="947" t="s">
        <v>647</v>
      </c>
      <c r="BI31" s="947" t="s">
        <v>647</v>
      </c>
      <c r="BJ31" s="1185" t="s">
        <v>647</v>
      </c>
      <c r="BK31" s="1185" t="s">
        <v>647</v>
      </c>
      <c r="BL31" s="947" t="s">
        <v>647</v>
      </c>
      <c r="BM31" s="947" t="s">
        <v>647</v>
      </c>
      <c r="BN31" s="947" t="s">
        <v>647</v>
      </c>
      <c r="BO31" s="1179" t="s">
        <v>647</v>
      </c>
      <c r="BR31" s="690"/>
      <c r="BS31" s="81"/>
      <c r="BX31" s="76"/>
      <c r="BY31" s="693">
        <f t="shared" si="6"/>
        <v>2041</v>
      </c>
      <c r="BZ31" s="690">
        <f t="shared" si="7"/>
        <v>158171403061284.13</v>
      </c>
      <c r="CA31" s="19">
        <f t="shared" si="4"/>
        <v>0.03</v>
      </c>
      <c r="CB31" s="693">
        <f t="shared" si="8"/>
        <v>4745142091838.5234</v>
      </c>
    </row>
    <row r="32" spans="1:80" ht="13.95" customHeight="1" x14ac:dyDescent="0.3">
      <c r="A32" s="938"/>
      <c r="B32" s="1177"/>
      <c r="C32" s="1178"/>
      <c r="D32" s="947"/>
      <c r="E32" s="947"/>
      <c r="F32" s="947"/>
      <c r="G32" s="947"/>
      <c r="H32" s="947"/>
      <c r="I32" s="947"/>
      <c r="J32" s="947"/>
      <c r="K32" s="1179"/>
      <c r="L32" s="947"/>
      <c r="M32" s="947"/>
      <c r="N32" s="947"/>
      <c r="O32" s="947"/>
      <c r="P32" s="947"/>
      <c r="Q32" s="947"/>
      <c r="R32" s="947"/>
      <c r="S32" s="1179"/>
      <c r="T32" s="947"/>
      <c r="U32" s="947"/>
      <c r="V32" s="947"/>
      <c r="W32" s="947"/>
      <c r="X32" s="947"/>
      <c r="Y32" s="947"/>
      <c r="Z32" s="947"/>
      <c r="AA32" s="1179"/>
      <c r="AB32" s="947">
        <v>0</v>
      </c>
      <c r="AC32" s="947">
        <v>0</v>
      </c>
      <c r="AD32" s="947">
        <f t="shared" ref="AD32:BO32" si="19">AD30*2</f>
        <v>8192</v>
      </c>
      <c r="AE32" s="947">
        <f t="shared" si="19"/>
        <v>8192</v>
      </c>
      <c r="AF32" s="947">
        <f t="shared" si="19"/>
        <v>8192</v>
      </c>
      <c r="AG32" s="947">
        <f t="shared" si="19"/>
        <v>8192</v>
      </c>
      <c r="AH32" s="947">
        <f t="shared" si="19"/>
        <v>8192</v>
      </c>
      <c r="AI32" s="1187">
        <f t="shared" si="19"/>
        <v>8192</v>
      </c>
      <c r="AJ32" s="1188">
        <f t="shared" si="19"/>
        <v>8192</v>
      </c>
      <c r="AK32" s="947">
        <f t="shared" si="19"/>
        <v>8192</v>
      </c>
      <c r="AL32" s="947">
        <f t="shared" si="19"/>
        <v>8192</v>
      </c>
      <c r="AM32" s="947">
        <f t="shared" si="19"/>
        <v>8192</v>
      </c>
      <c r="AN32" s="947">
        <f t="shared" si="19"/>
        <v>8192</v>
      </c>
      <c r="AO32" s="947">
        <f t="shared" si="19"/>
        <v>8192</v>
      </c>
      <c r="AP32" s="947">
        <f t="shared" si="19"/>
        <v>8192</v>
      </c>
      <c r="AQ32" s="1179">
        <f t="shared" si="19"/>
        <v>8192</v>
      </c>
      <c r="AR32" s="947">
        <f t="shared" si="19"/>
        <v>8192</v>
      </c>
      <c r="AS32" s="947">
        <f t="shared" si="19"/>
        <v>8192</v>
      </c>
      <c r="AT32" s="947">
        <f t="shared" si="19"/>
        <v>8192</v>
      </c>
      <c r="AU32" s="947">
        <f t="shared" si="19"/>
        <v>8192</v>
      </c>
      <c r="AV32" s="947">
        <f t="shared" si="19"/>
        <v>8192</v>
      </c>
      <c r="AW32" s="947">
        <f t="shared" si="19"/>
        <v>8192</v>
      </c>
      <c r="AX32" s="947">
        <f t="shared" si="19"/>
        <v>8192</v>
      </c>
      <c r="AY32" s="1179">
        <f t="shared" si="19"/>
        <v>8192</v>
      </c>
      <c r="AZ32" s="947">
        <f t="shared" si="19"/>
        <v>8192</v>
      </c>
      <c r="BA32" s="947">
        <f t="shared" si="19"/>
        <v>8192</v>
      </c>
      <c r="BB32" s="947">
        <f t="shared" si="19"/>
        <v>8192</v>
      </c>
      <c r="BC32" s="947">
        <f t="shared" si="19"/>
        <v>8192</v>
      </c>
      <c r="BD32" s="947">
        <f t="shared" si="19"/>
        <v>8192</v>
      </c>
      <c r="BE32" s="947">
        <f t="shared" si="19"/>
        <v>8192</v>
      </c>
      <c r="BF32" s="947">
        <f t="shared" si="19"/>
        <v>8192</v>
      </c>
      <c r="BG32" s="1179">
        <f t="shared" si="19"/>
        <v>8192</v>
      </c>
      <c r="BH32" s="947">
        <f t="shared" si="19"/>
        <v>8192</v>
      </c>
      <c r="BI32" s="947">
        <f t="shared" si="19"/>
        <v>8192</v>
      </c>
      <c r="BJ32" s="1185">
        <f t="shared" si="19"/>
        <v>8192</v>
      </c>
      <c r="BK32" s="1185">
        <f t="shared" si="19"/>
        <v>8192</v>
      </c>
      <c r="BL32" s="947">
        <f t="shared" si="19"/>
        <v>8192</v>
      </c>
      <c r="BM32" s="947">
        <f t="shared" si="19"/>
        <v>8192</v>
      </c>
      <c r="BN32" s="947">
        <f t="shared" si="19"/>
        <v>8192</v>
      </c>
      <c r="BO32" s="1179">
        <f t="shared" si="19"/>
        <v>8192</v>
      </c>
      <c r="BP32" s="42">
        <f>SUM(D32:BO32)</f>
        <v>311296</v>
      </c>
      <c r="BQ32" s="690">
        <f>BQ8</f>
        <v>167772.16</v>
      </c>
      <c r="BR32" s="690">
        <f t="shared" si="5"/>
        <v>52226802319.360001</v>
      </c>
      <c r="BS32" s="80">
        <f>BS30/2</f>
        <v>1.220703125E-4</v>
      </c>
      <c r="BT32" s="690">
        <f>BP32*BQ32*BS32</f>
        <v>6375342.0800000001</v>
      </c>
      <c r="BU32" s="1">
        <f>BP32*BS32</f>
        <v>38</v>
      </c>
      <c r="BX32" s="76"/>
      <c r="BY32" s="693">
        <f t="shared" si="6"/>
        <v>2042</v>
      </c>
      <c r="BZ32" s="690">
        <f t="shared" si="7"/>
        <v>162916545153122.66</v>
      </c>
      <c r="CA32" s="19">
        <f t="shared" si="4"/>
        <v>0.03</v>
      </c>
      <c r="CB32" s="693">
        <f t="shared" si="8"/>
        <v>4887496354593.6797</v>
      </c>
    </row>
    <row r="33" spans="1:80" ht="13.95" customHeight="1" x14ac:dyDescent="0.3">
      <c r="A33" s="938"/>
      <c r="B33" s="1177"/>
      <c r="C33" s="1178"/>
      <c r="D33" s="947"/>
      <c r="E33" s="947"/>
      <c r="F33" s="947"/>
      <c r="G33" s="947"/>
      <c r="H33" s="947"/>
      <c r="I33" s="947"/>
      <c r="J33" s="947"/>
      <c r="K33" s="1179"/>
      <c r="L33" s="947"/>
      <c r="M33" s="947"/>
      <c r="N33" s="947"/>
      <c r="O33" s="947"/>
      <c r="P33" s="947"/>
      <c r="Q33" s="947"/>
      <c r="R33" s="947"/>
      <c r="S33" s="1179"/>
      <c r="T33" s="947"/>
      <c r="U33" s="947"/>
      <c r="V33" s="947"/>
      <c r="W33" s="947"/>
      <c r="X33" s="947"/>
      <c r="Y33" s="947"/>
      <c r="Z33" s="947"/>
      <c r="AA33" s="1179"/>
      <c r="AB33" s="947"/>
      <c r="AC33" s="947"/>
      <c r="AD33" s="947" t="s">
        <v>645</v>
      </c>
      <c r="AE33" s="947" t="s">
        <v>646</v>
      </c>
      <c r="AF33" s="947" t="s">
        <v>647</v>
      </c>
      <c r="AG33" s="947" t="s">
        <v>647</v>
      </c>
      <c r="AH33" s="947" t="s">
        <v>647</v>
      </c>
      <c r="AI33" s="1187" t="s">
        <v>647</v>
      </c>
      <c r="AJ33" s="1188" t="s">
        <v>647</v>
      </c>
      <c r="AK33" s="947" t="s">
        <v>647</v>
      </c>
      <c r="AL33" s="947" t="s">
        <v>647</v>
      </c>
      <c r="AM33" s="947" t="s">
        <v>647</v>
      </c>
      <c r="AN33" s="947" t="s">
        <v>647</v>
      </c>
      <c r="AO33" s="947" t="s">
        <v>647</v>
      </c>
      <c r="AP33" s="947" t="s">
        <v>647</v>
      </c>
      <c r="AQ33" s="1179" t="s">
        <v>647</v>
      </c>
      <c r="AR33" s="947" t="s">
        <v>647</v>
      </c>
      <c r="AS33" s="947" t="s">
        <v>647</v>
      </c>
      <c r="AT33" s="947" t="s">
        <v>647</v>
      </c>
      <c r="AU33" s="947" t="s">
        <v>647</v>
      </c>
      <c r="AV33" s="947" t="s">
        <v>647</v>
      </c>
      <c r="AW33" s="947" t="s">
        <v>647</v>
      </c>
      <c r="AX33" s="947" t="s">
        <v>647</v>
      </c>
      <c r="AY33" s="1179" t="s">
        <v>647</v>
      </c>
      <c r="AZ33" s="947" t="s">
        <v>647</v>
      </c>
      <c r="BA33" s="947" t="s">
        <v>647</v>
      </c>
      <c r="BB33" s="947" t="s">
        <v>647</v>
      </c>
      <c r="BC33" s="947" t="s">
        <v>647</v>
      </c>
      <c r="BD33" s="947" t="s">
        <v>647</v>
      </c>
      <c r="BE33" s="947" t="s">
        <v>647</v>
      </c>
      <c r="BF33" s="947" t="s">
        <v>647</v>
      </c>
      <c r="BG33" s="1179" t="s">
        <v>647</v>
      </c>
      <c r="BH33" s="947" t="s">
        <v>647</v>
      </c>
      <c r="BI33" s="947" t="s">
        <v>647</v>
      </c>
      <c r="BJ33" s="1185" t="s">
        <v>647</v>
      </c>
      <c r="BK33" s="1185" t="s">
        <v>647</v>
      </c>
      <c r="BL33" s="947" t="s">
        <v>647</v>
      </c>
      <c r="BM33" s="947" t="s">
        <v>647</v>
      </c>
      <c r="BN33" s="947" t="s">
        <v>647</v>
      </c>
      <c r="BO33" s="1179" t="s">
        <v>647</v>
      </c>
      <c r="BR33" s="690"/>
      <c r="BS33" s="81"/>
      <c r="BX33" s="76"/>
      <c r="BY33" s="693">
        <f t="shared" si="6"/>
        <v>2043</v>
      </c>
      <c r="BZ33" s="690">
        <f t="shared" si="7"/>
        <v>167804041507716.34</v>
      </c>
      <c r="CA33" s="19">
        <f t="shared" si="4"/>
        <v>0.03</v>
      </c>
      <c r="CB33" s="693">
        <f t="shared" si="8"/>
        <v>5034121245231.4902</v>
      </c>
    </row>
    <row r="34" spans="1:80" ht="13.95" customHeight="1" x14ac:dyDescent="0.3">
      <c r="A34" s="938"/>
      <c r="B34" s="1177"/>
      <c r="C34" s="1178"/>
      <c r="D34" s="947"/>
      <c r="E34" s="947"/>
      <c r="F34" s="947"/>
      <c r="G34" s="947"/>
      <c r="H34" s="947"/>
      <c r="I34" s="947"/>
      <c r="J34" s="947"/>
      <c r="K34" s="1179"/>
      <c r="L34" s="947"/>
      <c r="M34" s="947"/>
      <c r="N34" s="947"/>
      <c r="O34" s="947"/>
      <c r="P34" s="947"/>
      <c r="Q34" s="947"/>
      <c r="R34" s="947"/>
      <c r="S34" s="1179"/>
      <c r="T34" s="947"/>
      <c r="U34" s="947"/>
      <c r="V34" s="947"/>
      <c r="W34" s="947"/>
      <c r="X34" s="947"/>
      <c r="Y34" s="947"/>
      <c r="Z34" s="947"/>
      <c r="AA34" s="1179"/>
      <c r="AB34" s="947"/>
      <c r="AC34" s="947"/>
      <c r="AD34" s="947">
        <v>0</v>
      </c>
      <c r="AE34" s="947">
        <v>0</v>
      </c>
      <c r="AF34" s="947">
        <f>AF32*2</f>
        <v>16384</v>
      </c>
      <c r="AG34" s="947">
        <f>AG32*2</f>
        <v>16384</v>
      </c>
      <c r="AH34" s="947">
        <f>AH32*2</f>
        <v>16384</v>
      </c>
      <c r="AI34" s="1187">
        <f>AI32*2</f>
        <v>16384</v>
      </c>
      <c r="AJ34" s="1188">
        <f t="shared" ref="AJ34:BO34" si="20">AJ32*2</f>
        <v>16384</v>
      </c>
      <c r="AK34" s="947">
        <f t="shared" si="20"/>
        <v>16384</v>
      </c>
      <c r="AL34" s="947">
        <f t="shared" si="20"/>
        <v>16384</v>
      </c>
      <c r="AM34" s="947">
        <f t="shared" si="20"/>
        <v>16384</v>
      </c>
      <c r="AN34" s="947">
        <f t="shared" si="20"/>
        <v>16384</v>
      </c>
      <c r="AO34" s="947">
        <f t="shared" si="20"/>
        <v>16384</v>
      </c>
      <c r="AP34" s="947">
        <f t="shared" si="20"/>
        <v>16384</v>
      </c>
      <c r="AQ34" s="1179">
        <f t="shared" si="20"/>
        <v>16384</v>
      </c>
      <c r="AR34" s="947">
        <f t="shared" si="20"/>
        <v>16384</v>
      </c>
      <c r="AS34" s="947">
        <f t="shared" si="20"/>
        <v>16384</v>
      </c>
      <c r="AT34" s="947">
        <f t="shared" si="20"/>
        <v>16384</v>
      </c>
      <c r="AU34" s="947">
        <f t="shared" si="20"/>
        <v>16384</v>
      </c>
      <c r="AV34" s="947">
        <f t="shared" si="20"/>
        <v>16384</v>
      </c>
      <c r="AW34" s="947">
        <f t="shared" si="20"/>
        <v>16384</v>
      </c>
      <c r="AX34" s="947">
        <f t="shared" si="20"/>
        <v>16384</v>
      </c>
      <c r="AY34" s="1179">
        <f t="shared" si="20"/>
        <v>16384</v>
      </c>
      <c r="AZ34" s="947">
        <f t="shared" si="20"/>
        <v>16384</v>
      </c>
      <c r="BA34" s="947">
        <f t="shared" si="20"/>
        <v>16384</v>
      </c>
      <c r="BB34" s="947">
        <f t="shared" si="20"/>
        <v>16384</v>
      </c>
      <c r="BC34" s="947">
        <f t="shared" si="20"/>
        <v>16384</v>
      </c>
      <c r="BD34" s="947">
        <f t="shared" si="20"/>
        <v>16384</v>
      </c>
      <c r="BE34" s="947">
        <f t="shared" si="20"/>
        <v>16384</v>
      </c>
      <c r="BF34" s="947">
        <f t="shared" si="20"/>
        <v>16384</v>
      </c>
      <c r="BG34" s="1179">
        <f t="shared" si="20"/>
        <v>16384</v>
      </c>
      <c r="BH34" s="947">
        <f t="shared" si="20"/>
        <v>16384</v>
      </c>
      <c r="BI34" s="947">
        <f t="shared" si="20"/>
        <v>16384</v>
      </c>
      <c r="BJ34" s="1185">
        <f t="shared" si="20"/>
        <v>16384</v>
      </c>
      <c r="BK34" s="1185">
        <f t="shared" si="20"/>
        <v>16384</v>
      </c>
      <c r="BL34" s="947">
        <f t="shared" si="20"/>
        <v>16384</v>
      </c>
      <c r="BM34" s="947">
        <f t="shared" si="20"/>
        <v>16384</v>
      </c>
      <c r="BN34" s="947">
        <f t="shared" si="20"/>
        <v>16384</v>
      </c>
      <c r="BO34" s="1179">
        <f t="shared" si="20"/>
        <v>16384</v>
      </c>
      <c r="BP34" s="42">
        <f>SUM(D34:BO34)</f>
        <v>589824</v>
      </c>
      <c r="BQ34" s="690">
        <f>BQ8</f>
        <v>167772.16</v>
      </c>
      <c r="BR34" s="690">
        <f t="shared" si="5"/>
        <v>98956046499.839996</v>
      </c>
      <c r="BS34" s="80">
        <f>BS32/2</f>
        <v>6.103515625E-5</v>
      </c>
      <c r="BT34" s="690">
        <f>BP34*BQ34*BS34</f>
        <v>6039797.7599999998</v>
      </c>
      <c r="BU34" s="1">
        <f>BP34*BS34</f>
        <v>36</v>
      </c>
      <c r="BX34" s="76"/>
      <c r="BY34" s="693">
        <f t="shared" si="6"/>
        <v>2044</v>
      </c>
      <c r="BZ34" s="690">
        <f t="shared" si="7"/>
        <v>172838162752947.84</v>
      </c>
      <c r="CA34" s="19">
        <f t="shared" si="4"/>
        <v>0.03</v>
      </c>
      <c r="CB34" s="693">
        <f t="shared" si="8"/>
        <v>5185144882588.4355</v>
      </c>
    </row>
    <row r="35" spans="1:80" ht="13.95" customHeight="1" x14ac:dyDescent="0.3">
      <c r="A35" s="938"/>
      <c r="B35" s="1177"/>
      <c r="C35" s="1178"/>
      <c r="D35" s="947"/>
      <c r="E35" s="947"/>
      <c r="F35" s="947"/>
      <c r="G35" s="947"/>
      <c r="H35" s="947"/>
      <c r="I35" s="947"/>
      <c r="J35" s="947"/>
      <c r="K35" s="1179"/>
      <c r="L35" s="947"/>
      <c r="M35" s="947"/>
      <c r="N35" s="947"/>
      <c r="O35" s="947"/>
      <c r="P35" s="947"/>
      <c r="Q35" s="947"/>
      <c r="R35" s="947"/>
      <c r="S35" s="1179"/>
      <c r="T35" s="947"/>
      <c r="U35" s="947"/>
      <c r="V35" s="947"/>
      <c r="W35" s="947"/>
      <c r="X35" s="947"/>
      <c r="Y35" s="947"/>
      <c r="Z35" s="947"/>
      <c r="AA35" s="1179"/>
      <c r="AB35" s="947"/>
      <c r="AC35" s="947"/>
      <c r="AD35" s="947"/>
      <c r="AE35" s="947"/>
      <c r="AF35" s="947" t="s">
        <v>645</v>
      </c>
      <c r="AG35" s="947" t="s">
        <v>646</v>
      </c>
      <c r="AH35" s="947" t="s">
        <v>647</v>
      </c>
      <c r="AI35" s="1187" t="s">
        <v>647</v>
      </c>
      <c r="AJ35" s="1188" t="s">
        <v>647</v>
      </c>
      <c r="AK35" s="947" t="s">
        <v>647</v>
      </c>
      <c r="AL35" s="947" t="s">
        <v>647</v>
      </c>
      <c r="AM35" s="947" t="s">
        <v>647</v>
      </c>
      <c r="AN35" s="947" t="s">
        <v>647</v>
      </c>
      <c r="AO35" s="947" t="s">
        <v>647</v>
      </c>
      <c r="AP35" s="947" t="s">
        <v>647</v>
      </c>
      <c r="AQ35" s="1179" t="s">
        <v>647</v>
      </c>
      <c r="AR35" s="947" t="s">
        <v>647</v>
      </c>
      <c r="AS35" s="947" t="s">
        <v>647</v>
      </c>
      <c r="AT35" s="947" t="s">
        <v>647</v>
      </c>
      <c r="AU35" s="947" t="s">
        <v>647</v>
      </c>
      <c r="AV35" s="947" t="s">
        <v>647</v>
      </c>
      <c r="AW35" s="947" t="s">
        <v>647</v>
      </c>
      <c r="AX35" s="947" t="s">
        <v>647</v>
      </c>
      <c r="AY35" s="1179" t="s">
        <v>647</v>
      </c>
      <c r="AZ35" s="947" t="s">
        <v>647</v>
      </c>
      <c r="BA35" s="947" t="s">
        <v>647</v>
      </c>
      <c r="BB35" s="947" t="s">
        <v>647</v>
      </c>
      <c r="BC35" s="947" t="s">
        <v>647</v>
      </c>
      <c r="BD35" s="947" t="s">
        <v>647</v>
      </c>
      <c r="BE35" s="947" t="s">
        <v>647</v>
      </c>
      <c r="BF35" s="947" t="s">
        <v>647</v>
      </c>
      <c r="BG35" s="1179" t="s">
        <v>647</v>
      </c>
      <c r="BH35" s="947" t="s">
        <v>647</v>
      </c>
      <c r="BI35" s="947" t="s">
        <v>647</v>
      </c>
      <c r="BJ35" s="1185" t="s">
        <v>647</v>
      </c>
      <c r="BK35" s="1185" t="s">
        <v>647</v>
      </c>
      <c r="BL35" s="947" t="s">
        <v>647</v>
      </c>
      <c r="BM35" s="947" t="s">
        <v>647</v>
      </c>
      <c r="BN35" s="947" t="s">
        <v>647</v>
      </c>
      <c r="BO35" s="1179" t="s">
        <v>647</v>
      </c>
      <c r="BS35" s="81"/>
      <c r="BX35" s="76"/>
      <c r="BY35" s="693">
        <f t="shared" si="6"/>
        <v>2045</v>
      </c>
      <c r="BZ35" s="690">
        <f t="shared" si="7"/>
        <v>178023307635536.28</v>
      </c>
      <c r="CA35" s="19">
        <f t="shared" si="4"/>
        <v>0.03</v>
      </c>
      <c r="CB35" s="693">
        <f t="shared" si="8"/>
        <v>5340699229066.0879</v>
      </c>
    </row>
    <row r="36" spans="1:80" ht="13.95" customHeight="1" x14ac:dyDescent="0.3">
      <c r="A36" s="938"/>
      <c r="B36" s="1177"/>
      <c r="C36" s="1178"/>
      <c r="D36" s="947"/>
      <c r="E36" s="947"/>
      <c r="F36" s="947"/>
      <c r="G36" s="947"/>
      <c r="H36" s="947"/>
      <c r="I36" s="947"/>
      <c r="J36" s="947"/>
      <c r="K36" s="1179"/>
      <c r="L36" s="947"/>
      <c r="M36" s="947"/>
      <c r="N36" s="947"/>
      <c r="O36" s="947"/>
      <c r="P36" s="947"/>
      <c r="Q36" s="947"/>
      <c r="R36" s="947"/>
      <c r="S36" s="1179"/>
      <c r="T36" s="947"/>
      <c r="U36" s="947"/>
      <c r="V36" s="947"/>
      <c r="W36" s="947"/>
      <c r="X36" s="947"/>
      <c r="Y36" s="947"/>
      <c r="Z36" s="947"/>
      <c r="AA36" s="1179"/>
      <c r="AB36" s="947"/>
      <c r="AC36" s="947"/>
      <c r="AD36" s="947"/>
      <c r="AE36" s="947"/>
      <c r="AF36" s="947">
        <v>0</v>
      </c>
      <c r="AG36" s="947">
        <v>0</v>
      </c>
      <c r="AH36" s="947">
        <f>AH34*2</f>
        <v>32768</v>
      </c>
      <c r="AI36" s="1187">
        <f>AI34*2</f>
        <v>32768</v>
      </c>
      <c r="AJ36" s="1188">
        <f t="shared" ref="AJ36:BO36" si="21">AJ34*2</f>
        <v>32768</v>
      </c>
      <c r="AK36" s="947">
        <f t="shared" si="21"/>
        <v>32768</v>
      </c>
      <c r="AL36" s="947">
        <f t="shared" si="21"/>
        <v>32768</v>
      </c>
      <c r="AM36" s="947">
        <f t="shared" si="21"/>
        <v>32768</v>
      </c>
      <c r="AN36" s="947">
        <f t="shared" si="21"/>
        <v>32768</v>
      </c>
      <c r="AO36" s="947">
        <f t="shared" si="21"/>
        <v>32768</v>
      </c>
      <c r="AP36" s="947">
        <f t="shared" si="21"/>
        <v>32768</v>
      </c>
      <c r="AQ36" s="1179">
        <f t="shared" si="21"/>
        <v>32768</v>
      </c>
      <c r="AR36" s="947">
        <f t="shared" si="21"/>
        <v>32768</v>
      </c>
      <c r="AS36" s="947">
        <f t="shared" si="21"/>
        <v>32768</v>
      </c>
      <c r="AT36" s="947">
        <f t="shared" si="21"/>
        <v>32768</v>
      </c>
      <c r="AU36" s="947">
        <f t="shared" si="21"/>
        <v>32768</v>
      </c>
      <c r="AV36" s="947">
        <f t="shared" si="21"/>
        <v>32768</v>
      </c>
      <c r="AW36" s="947">
        <f t="shared" si="21"/>
        <v>32768</v>
      </c>
      <c r="AX36" s="947">
        <f t="shared" si="21"/>
        <v>32768</v>
      </c>
      <c r="AY36" s="1179">
        <f t="shared" si="21"/>
        <v>32768</v>
      </c>
      <c r="AZ36" s="947">
        <f t="shared" si="21"/>
        <v>32768</v>
      </c>
      <c r="BA36" s="947">
        <f t="shared" si="21"/>
        <v>32768</v>
      </c>
      <c r="BB36" s="947">
        <f t="shared" si="21"/>
        <v>32768</v>
      </c>
      <c r="BC36" s="947">
        <f t="shared" si="21"/>
        <v>32768</v>
      </c>
      <c r="BD36" s="947">
        <f t="shared" si="21"/>
        <v>32768</v>
      </c>
      <c r="BE36" s="947">
        <f t="shared" si="21"/>
        <v>32768</v>
      </c>
      <c r="BF36" s="947">
        <f t="shared" si="21"/>
        <v>32768</v>
      </c>
      <c r="BG36" s="1179">
        <f t="shared" si="21"/>
        <v>32768</v>
      </c>
      <c r="BH36" s="947">
        <f t="shared" si="21"/>
        <v>32768</v>
      </c>
      <c r="BI36" s="947">
        <f t="shared" si="21"/>
        <v>32768</v>
      </c>
      <c r="BJ36" s="1185">
        <f t="shared" si="21"/>
        <v>32768</v>
      </c>
      <c r="BK36" s="1185">
        <f t="shared" si="21"/>
        <v>32768</v>
      </c>
      <c r="BL36" s="947">
        <f t="shared" si="21"/>
        <v>32768</v>
      </c>
      <c r="BM36" s="947">
        <f t="shared" si="21"/>
        <v>32768</v>
      </c>
      <c r="BN36" s="947">
        <f t="shared" si="21"/>
        <v>32768</v>
      </c>
      <c r="BO36" s="1179">
        <f t="shared" si="21"/>
        <v>32768</v>
      </c>
      <c r="BP36" s="42">
        <f>SUM(D36:BO36)</f>
        <v>1114112</v>
      </c>
      <c r="BQ36" s="690">
        <f>BQ8</f>
        <v>167772.16</v>
      </c>
      <c r="BR36" s="690">
        <f>BP36*BQ36</f>
        <v>186916976721.92001</v>
      </c>
      <c r="BS36" s="80">
        <f>BS34/2</f>
        <v>3.0517578125E-5</v>
      </c>
      <c r="BT36" s="690">
        <f>BP36*BQ36*BS36</f>
        <v>5704253.4400000004</v>
      </c>
      <c r="BU36" s="1">
        <f>BP36*BS36</f>
        <v>34</v>
      </c>
      <c r="BX36" s="76"/>
      <c r="BY36" s="693">
        <f t="shared" si="6"/>
        <v>2046</v>
      </c>
      <c r="BZ36" s="690">
        <f t="shared" si="7"/>
        <v>183364006864602.38</v>
      </c>
      <c r="CA36" s="19">
        <f t="shared" si="4"/>
        <v>0.03</v>
      </c>
      <c r="CB36" s="693">
        <f t="shared" si="8"/>
        <v>5500920205938.0713</v>
      </c>
    </row>
    <row r="37" spans="1:80" ht="13.95" customHeight="1" x14ac:dyDescent="0.3">
      <c r="A37" s="938"/>
      <c r="B37" s="1177"/>
      <c r="C37" s="1178"/>
      <c r="D37" s="947"/>
      <c r="E37" s="947"/>
      <c r="F37" s="947"/>
      <c r="G37" s="947"/>
      <c r="H37" s="947"/>
      <c r="I37" s="947"/>
      <c r="J37" s="947"/>
      <c r="K37" s="1179"/>
      <c r="L37" s="947"/>
      <c r="M37" s="947"/>
      <c r="N37" s="947"/>
      <c r="O37" s="947"/>
      <c r="P37" s="947"/>
      <c r="Q37" s="947"/>
      <c r="R37" s="947"/>
      <c r="S37" s="1179"/>
      <c r="T37" s="947"/>
      <c r="U37" s="947"/>
      <c r="V37" s="947"/>
      <c r="W37" s="947"/>
      <c r="X37" s="947"/>
      <c r="Y37" s="947"/>
      <c r="Z37" s="947"/>
      <c r="AA37" s="1179"/>
      <c r="AB37" s="947"/>
      <c r="AC37" s="947"/>
      <c r="AD37" s="947"/>
      <c r="AE37" s="947"/>
      <c r="AF37" s="947"/>
      <c r="AG37" s="947"/>
      <c r="AH37" s="947" t="s">
        <v>645</v>
      </c>
      <c r="AI37" s="1187" t="s">
        <v>646</v>
      </c>
      <c r="AJ37" s="1188" t="s">
        <v>647</v>
      </c>
      <c r="AK37" s="1188" t="s">
        <v>647</v>
      </c>
      <c r="AL37" s="1188" t="s">
        <v>647</v>
      </c>
      <c r="AM37" s="1188" t="s">
        <v>647</v>
      </c>
      <c r="AN37" s="1188" t="s">
        <v>647</v>
      </c>
      <c r="AO37" s="1188" t="s">
        <v>647</v>
      </c>
      <c r="AP37" s="1188" t="s">
        <v>647</v>
      </c>
      <c r="AQ37" s="1179" t="s">
        <v>647</v>
      </c>
      <c r="AR37" s="1188" t="s">
        <v>647</v>
      </c>
      <c r="AS37" s="1188" t="s">
        <v>647</v>
      </c>
      <c r="AT37" s="1188" t="s">
        <v>647</v>
      </c>
      <c r="AU37" s="1188" t="s">
        <v>647</v>
      </c>
      <c r="AV37" s="1188" t="s">
        <v>647</v>
      </c>
      <c r="AW37" s="1188" t="s">
        <v>647</v>
      </c>
      <c r="AX37" s="1188" t="s">
        <v>647</v>
      </c>
      <c r="AY37" s="1179" t="s">
        <v>647</v>
      </c>
      <c r="AZ37" s="1188" t="s">
        <v>647</v>
      </c>
      <c r="BA37" s="1188" t="s">
        <v>647</v>
      </c>
      <c r="BB37" s="1188" t="s">
        <v>647</v>
      </c>
      <c r="BC37" s="1188" t="s">
        <v>647</v>
      </c>
      <c r="BD37" s="1188" t="s">
        <v>647</v>
      </c>
      <c r="BE37" s="1188" t="s">
        <v>647</v>
      </c>
      <c r="BF37" s="1188" t="s">
        <v>647</v>
      </c>
      <c r="BG37" s="1179" t="s">
        <v>647</v>
      </c>
      <c r="BH37" s="1188" t="s">
        <v>647</v>
      </c>
      <c r="BI37" s="1188" t="s">
        <v>647</v>
      </c>
      <c r="BJ37" s="1185" t="s">
        <v>647</v>
      </c>
      <c r="BK37" s="1185" t="s">
        <v>647</v>
      </c>
      <c r="BL37" s="1188" t="s">
        <v>647</v>
      </c>
      <c r="BM37" s="1188" t="s">
        <v>647</v>
      </c>
      <c r="BN37" s="1188" t="s">
        <v>647</v>
      </c>
      <c r="BO37" s="1179" t="s">
        <v>647</v>
      </c>
      <c r="BQ37" s="690"/>
      <c r="BR37" s="690"/>
      <c r="BS37" s="80"/>
      <c r="BT37" s="690"/>
      <c r="BX37" s="76"/>
      <c r="BY37" s="693">
        <f t="shared" si="6"/>
        <v>2047</v>
      </c>
      <c r="BZ37" s="690">
        <f t="shared" si="7"/>
        <v>188864927070540.44</v>
      </c>
      <c r="CA37" s="19">
        <f t="shared" si="4"/>
        <v>0.03</v>
      </c>
      <c r="CB37" s="693">
        <f t="shared" si="8"/>
        <v>5665947812116.2129</v>
      </c>
    </row>
    <row r="38" spans="1:80" ht="13.95" customHeight="1" x14ac:dyDescent="0.3">
      <c r="A38" s="938"/>
      <c r="B38" s="1177"/>
      <c r="C38" s="1178"/>
      <c r="D38" s="947"/>
      <c r="E38" s="947"/>
      <c r="F38" s="947"/>
      <c r="G38" s="947"/>
      <c r="H38" s="947"/>
      <c r="I38" s="947"/>
      <c r="J38" s="947"/>
      <c r="K38" s="1179"/>
      <c r="L38" s="947"/>
      <c r="M38" s="947"/>
      <c r="N38" s="947"/>
      <c r="O38" s="947"/>
      <c r="P38" s="947"/>
      <c r="Q38" s="947"/>
      <c r="R38" s="947"/>
      <c r="S38" s="1179"/>
      <c r="T38" s="947"/>
      <c r="U38" s="947"/>
      <c r="V38" s="947"/>
      <c r="W38" s="947"/>
      <c r="X38" s="947"/>
      <c r="Y38" s="947"/>
      <c r="Z38" s="947"/>
      <c r="AA38" s="1179"/>
      <c r="AB38" s="947"/>
      <c r="AC38" s="947"/>
      <c r="AD38" s="947"/>
      <c r="AE38" s="947"/>
      <c r="AF38" s="947"/>
      <c r="AG38" s="947"/>
      <c r="AH38" s="947">
        <v>0</v>
      </c>
      <c r="AI38" s="1187">
        <v>0</v>
      </c>
      <c r="AJ38" s="1188">
        <f t="shared" ref="AJ38:BO38" si="22">AJ36*2</f>
        <v>65536</v>
      </c>
      <c r="AK38" s="1188">
        <f t="shared" si="22"/>
        <v>65536</v>
      </c>
      <c r="AL38" s="1188">
        <f t="shared" si="22"/>
        <v>65536</v>
      </c>
      <c r="AM38" s="1188">
        <f t="shared" si="22"/>
        <v>65536</v>
      </c>
      <c r="AN38" s="1188">
        <f t="shared" si="22"/>
        <v>65536</v>
      </c>
      <c r="AO38" s="1188">
        <f t="shared" si="22"/>
        <v>65536</v>
      </c>
      <c r="AP38" s="1188">
        <f t="shared" si="22"/>
        <v>65536</v>
      </c>
      <c r="AQ38" s="1179">
        <f t="shared" si="22"/>
        <v>65536</v>
      </c>
      <c r="AR38" s="1188">
        <f t="shared" si="22"/>
        <v>65536</v>
      </c>
      <c r="AS38" s="1188">
        <f t="shared" si="22"/>
        <v>65536</v>
      </c>
      <c r="AT38" s="1188">
        <f t="shared" si="22"/>
        <v>65536</v>
      </c>
      <c r="AU38" s="1188">
        <f t="shared" si="22"/>
        <v>65536</v>
      </c>
      <c r="AV38" s="1188">
        <f t="shared" si="22"/>
        <v>65536</v>
      </c>
      <c r="AW38" s="1188">
        <f t="shared" si="22"/>
        <v>65536</v>
      </c>
      <c r="AX38" s="1188">
        <f t="shared" si="22"/>
        <v>65536</v>
      </c>
      <c r="AY38" s="1179">
        <f t="shared" si="22"/>
        <v>65536</v>
      </c>
      <c r="AZ38" s="1188">
        <f t="shared" si="22"/>
        <v>65536</v>
      </c>
      <c r="BA38" s="1188">
        <f t="shared" si="22"/>
        <v>65536</v>
      </c>
      <c r="BB38" s="1188">
        <f t="shared" si="22"/>
        <v>65536</v>
      </c>
      <c r="BC38" s="1188">
        <f t="shared" si="22"/>
        <v>65536</v>
      </c>
      <c r="BD38" s="1188">
        <f t="shared" si="22"/>
        <v>65536</v>
      </c>
      <c r="BE38" s="1188">
        <f t="shared" si="22"/>
        <v>65536</v>
      </c>
      <c r="BF38" s="1188">
        <f t="shared" si="22"/>
        <v>65536</v>
      </c>
      <c r="BG38" s="1179">
        <f t="shared" si="22"/>
        <v>65536</v>
      </c>
      <c r="BH38" s="1188">
        <f t="shared" si="22"/>
        <v>65536</v>
      </c>
      <c r="BI38" s="1188">
        <f t="shared" si="22"/>
        <v>65536</v>
      </c>
      <c r="BJ38" s="1185">
        <f t="shared" si="22"/>
        <v>65536</v>
      </c>
      <c r="BK38" s="1185">
        <f t="shared" si="22"/>
        <v>65536</v>
      </c>
      <c r="BL38" s="1188">
        <f t="shared" si="22"/>
        <v>65536</v>
      </c>
      <c r="BM38" s="1188">
        <f t="shared" si="22"/>
        <v>65536</v>
      </c>
      <c r="BN38" s="1188">
        <f t="shared" si="22"/>
        <v>65536</v>
      </c>
      <c r="BO38" s="1179">
        <f t="shared" si="22"/>
        <v>65536</v>
      </c>
      <c r="BP38" s="42">
        <f>SUM(D38:BO38)</f>
        <v>2097152</v>
      </c>
      <c r="BQ38" s="690">
        <f>BQ10</f>
        <v>167772.16</v>
      </c>
      <c r="BR38" s="690">
        <f>BP38*BQ38</f>
        <v>351843720888.32001</v>
      </c>
      <c r="BS38" s="80">
        <f>BS36/2</f>
        <v>1.52587890625E-5</v>
      </c>
      <c r="BT38" s="690">
        <f>BP38*BQ38*BS38</f>
        <v>5368709.1200000001</v>
      </c>
      <c r="BU38" s="1">
        <f>BP38*BS38</f>
        <v>32</v>
      </c>
      <c r="BX38" s="76"/>
      <c r="BY38" s="693">
        <f t="shared" si="6"/>
        <v>2048</v>
      </c>
      <c r="BZ38" s="690">
        <f t="shared" si="7"/>
        <v>194530874882656.66</v>
      </c>
      <c r="CA38" s="19">
        <f t="shared" si="4"/>
        <v>0.03</v>
      </c>
      <c r="CB38" s="693">
        <f t="shared" si="8"/>
        <v>5835926246479.6992</v>
      </c>
    </row>
    <row r="39" spans="1:80" ht="13.95" customHeight="1" x14ac:dyDescent="0.3">
      <c r="A39" s="938"/>
      <c r="B39" s="1177"/>
      <c r="C39" s="1178"/>
      <c r="D39" s="947"/>
      <c r="E39" s="947"/>
      <c r="F39" s="947"/>
      <c r="G39" s="947"/>
      <c r="H39" s="947"/>
      <c r="I39" s="947"/>
      <c r="J39" s="947"/>
      <c r="K39" s="1179"/>
      <c r="L39" s="947"/>
      <c r="M39" s="947"/>
      <c r="N39" s="947"/>
      <c r="O39" s="947"/>
      <c r="P39" s="947"/>
      <c r="Q39" s="947"/>
      <c r="R39" s="947"/>
      <c r="S39" s="1179"/>
      <c r="T39" s="947"/>
      <c r="U39" s="947"/>
      <c r="V39" s="947"/>
      <c r="W39" s="947"/>
      <c r="X39" s="947"/>
      <c r="Y39" s="947"/>
      <c r="Z39" s="947"/>
      <c r="AA39" s="1179"/>
      <c r="AB39" s="947"/>
      <c r="AC39" s="947"/>
      <c r="AD39" s="947"/>
      <c r="AE39" s="947"/>
      <c r="AF39" s="947"/>
      <c r="AG39" s="947"/>
      <c r="AH39" s="947"/>
      <c r="AI39" s="1187"/>
      <c r="AJ39" s="947" t="s">
        <v>645</v>
      </c>
      <c r="AK39" s="947" t="s">
        <v>646</v>
      </c>
      <c r="AL39" s="1188" t="s">
        <v>647</v>
      </c>
      <c r="AM39" s="1188" t="s">
        <v>647</v>
      </c>
      <c r="AN39" s="1188" t="s">
        <v>647</v>
      </c>
      <c r="AO39" s="1188" t="s">
        <v>647</v>
      </c>
      <c r="AP39" s="1188" t="s">
        <v>647</v>
      </c>
      <c r="AQ39" s="1179" t="s">
        <v>647</v>
      </c>
      <c r="AR39" s="1188" t="s">
        <v>647</v>
      </c>
      <c r="AS39" s="1188" t="s">
        <v>647</v>
      </c>
      <c r="AT39" s="1188" t="s">
        <v>647</v>
      </c>
      <c r="AU39" s="1188" t="s">
        <v>647</v>
      </c>
      <c r="AV39" s="1188" t="s">
        <v>647</v>
      </c>
      <c r="AW39" s="1188" t="s">
        <v>647</v>
      </c>
      <c r="AX39" s="1188" t="s">
        <v>647</v>
      </c>
      <c r="AY39" s="1179" t="s">
        <v>647</v>
      </c>
      <c r="AZ39" s="1188" t="s">
        <v>647</v>
      </c>
      <c r="BA39" s="1188" t="s">
        <v>647</v>
      </c>
      <c r="BB39" s="1188" t="s">
        <v>647</v>
      </c>
      <c r="BC39" s="1188" t="s">
        <v>647</v>
      </c>
      <c r="BD39" s="1188" t="s">
        <v>647</v>
      </c>
      <c r="BE39" s="1188" t="s">
        <v>647</v>
      </c>
      <c r="BF39" s="1188" t="s">
        <v>647</v>
      </c>
      <c r="BG39" s="1179" t="s">
        <v>647</v>
      </c>
      <c r="BH39" s="1188" t="s">
        <v>647</v>
      </c>
      <c r="BI39" s="1188" t="s">
        <v>647</v>
      </c>
      <c r="BJ39" s="1185" t="s">
        <v>647</v>
      </c>
      <c r="BK39" s="1185" t="s">
        <v>647</v>
      </c>
      <c r="BL39" s="1188" t="s">
        <v>647</v>
      </c>
      <c r="BM39" s="1188" t="s">
        <v>647</v>
      </c>
      <c r="BN39" s="1188" t="s">
        <v>647</v>
      </c>
      <c r="BO39" s="1179" t="s">
        <v>647</v>
      </c>
      <c r="BQ39" s="690"/>
      <c r="BR39" s="690"/>
      <c r="BS39" s="80"/>
      <c r="BT39" s="690"/>
      <c r="BX39" s="76"/>
      <c r="BY39" s="693">
        <f t="shared" si="6"/>
        <v>2049</v>
      </c>
      <c r="BZ39" s="690">
        <f t="shared" si="7"/>
        <v>200366801129136.34</v>
      </c>
      <c r="CA39" s="19">
        <f t="shared" si="4"/>
        <v>0.03</v>
      </c>
      <c r="CB39" s="693">
        <f t="shared" si="8"/>
        <v>6011004033874.0898</v>
      </c>
    </row>
    <row r="40" spans="1:80" ht="13.95" customHeight="1" x14ac:dyDescent="0.3">
      <c r="A40" s="938"/>
      <c r="B40" s="1177"/>
      <c r="C40" s="1178"/>
      <c r="D40" s="947"/>
      <c r="E40" s="947"/>
      <c r="F40" s="947"/>
      <c r="G40" s="947"/>
      <c r="H40" s="947"/>
      <c r="I40" s="947"/>
      <c r="J40" s="947"/>
      <c r="K40" s="1179"/>
      <c r="L40" s="947"/>
      <c r="M40" s="947"/>
      <c r="N40" s="947"/>
      <c r="O40" s="947"/>
      <c r="P40" s="947"/>
      <c r="Q40" s="947"/>
      <c r="R40" s="947"/>
      <c r="S40" s="1179"/>
      <c r="T40" s="947"/>
      <c r="U40" s="947"/>
      <c r="V40" s="947"/>
      <c r="W40" s="947"/>
      <c r="X40" s="947"/>
      <c r="Y40" s="947"/>
      <c r="Z40" s="947"/>
      <c r="AA40" s="1179"/>
      <c r="AB40" s="947"/>
      <c r="AC40" s="947"/>
      <c r="AD40" s="947"/>
      <c r="AE40" s="947"/>
      <c r="AF40" s="947"/>
      <c r="AG40" s="947"/>
      <c r="AH40" s="947"/>
      <c r="AI40" s="1187"/>
      <c r="AJ40" s="947">
        <v>0</v>
      </c>
      <c r="AK40" s="947">
        <v>0</v>
      </c>
      <c r="AL40" s="1188">
        <f>AL38*2</f>
        <v>131072</v>
      </c>
      <c r="AM40" s="1188">
        <f>AM38*2</f>
        <v>131072</v>
      </c>
      <c r="AN40" s="1188">
        <f t="shared" ref="AN40:BO40" si="23">AN38*2</f>
        <v>131072</v>
      </c>
      <c r="AO40" s="1188">
        <f t="shared" si="23"/>
        <v>131072</v>
      </c>
      <c r="AP40" s="1188">
        <f t="shared" si="23"/>
        <v>131072</v>
      </c>
      <c r="AQ40" s="1179">
        <f t="shared" si="23"/>
        <v>131072</v>
      </c>
      <c r="AR40" s="1188">
        <f t="shared" si="23"/>
        <v>131072</v>
      </c>
      <c r="AS40" s="1188">
        <f t="shared" si="23"/>
        <v>131072</v>
      </c>
      <c r="AT40" s="1188">
        <f t="shared" si="23"/>
        <v>131072</v>
      </c>
      <c r="AU40" s="1188">
        <f t="shared" si="23"/>
        <v>131072</v>
      </c>
      <c r="AV40" s="1188">
        <f t="shared" si="23"/>
        <v>131072</v>
      </c>
      <c r="AW40" s="1188">
        <f t="shared" si="23"/>
        <v>131072</v>
      </c>
      <c r="AX40" s="1188">
        <f t="shared" si="23"/>
        <v>131072</v>
      </c>
      <c r="AY40" s="1179">
        <f t="shared" si="23"/>
        <v>131072</v>
      </c>
      <c r="AZ40" s="1188">
        <f t="shared" si="23"/>
        <v>131072</v>
      </c>
      <c r="BA40" s="1188">
        <f t="shared" si="23"/>
        <v>131072</v>
      </c>
      <c r="BB40" s="1188">
        <f t="shared" si="23"/>
        <v>131072</v>
      </c>
      <c r="BC40" s="1188">
        <f t="shared" si="23"/>
        <v>131072</v>
      </c>
      <c r="BD40" s="1188">
        <f t="shared" si="23"/>
        <v>131072</v>
      </c>
      <c r="BE40" s="1188">
        <f t="shared" si="23"/>
        <v>131072</v>
      </c>
      <c r="BF40" s="1188">
        <f t="shared" si="23"/>
        <v>131072</v>
      </c>
      <c r="BG40" s="1179">
        <f t="shared" si="23"/>
        <v>131072</v>
      </c>
      <c r="BH40" s="1188">
        <f t="shared" si="23"/>
        <v>131072</v>
      </c>
      <c r="BI40" s="1188">
        <f t="shared" si="23"/>
        <v>131072</v>
      </c>
      <c r="BJ40" s="1185">
        <f t="shared" si="23"/>
        <v>131072</v>
      </c>
      <c r="BK40" s="1185">
        <f t="shared" si="23"/>
        <v>131072</v>
      </c>
      <c r="BL40" s="1188">
        <f t="shared" si="23"/>
        <v>131072</v>
      </c>
      <c r="BM40" s="1188">
        <f t="shared" si="23"/>
        <v>131072</v>
      </c>
      <c r="BN40" s="1188">
        <f t="shared" si="23"/>
        <v>131072</v>
      </c>
      <c r="BO40" s="1179">
        <f t="shared" si="23"/>
        <v>131072</v>
      </c>
      <c r="BP40" s="42">
        <f>SUM(D40:BO40)</f>
        <v>3932160</v>
      </c>
      <c r="BQ40" s="690">
        <f>BQ12</f>
        <v>167772.16</v>
      </c>
      <c r="BR40" s="690">
        <f>BP40*BQ40</f>
        <v>659706976665.59998</v>
      </c>
      <c r="BS40" s="80">
        <f>BS38/2</f>
        <v>7.62939453125E-6</v>
      </c>
      <c r="BT40" s="690">
        <f>BP40*BQ40*BS40</f>
        <v>5033164.7999999998</v>
      </c>
      <c r="BU40" s="1">
        <f>BP40*BS40</f>
        <v>30</v>
      </c>
      <c r="BX40" s="76"/>
      <c r="BY40" s="693">
        <f t="shared" si="6"/>
        <v>2050</v>
      </c>
      <c r="BZ40" s="690">
        <f t="shared" si="7"/>
        <v>206377805163010.44</v>
      </c>
      <c r="CA40" s="19">
        <f t="shared" si="4"/>
        <v>0.03</v>
      </c>
      <c r="CB40" s="693">
        <f t="shared" si="8"/>
        <v>6191334154890.3125</v>
      </c>
    </row>
    <row r="41" spans="1:80" ht="13.95" customHeight="1" x14ac:dyDescent="0.3">
      <c r="A41" s="938"/>
      <c r="B41" s="1177"/>
      <c r="C41" s="1178"/>
      <c r="D41" s="947"/>
      <c r="E41" s="947"/>
      <c r="F41" s="947"/>
      <c r="G41" s="947"/>
      <c r="H41" s="947"/>
      <c r="I41" s="947"/>
      <c r="J41" s="947"/>
      <c r="K41" s="1179"/>
      <c r="L41" s="947"/>
      <c r="M41" s="947"/>
      <c r="N41" s="947"/>
      <c r="O41" s="947"/>
      <c r="P41" s="947"/>
      <c r="Q41" s="947"/>
      <c r="R41" s="947"/>
      <c r="S41" s="1179"/>
      <c r="T41" s="947"/>
      <c r="U41" s="947"/>
      <c r="V41" s="947"/>
      <c r="W41" s="947"/>
      <c r="X41" s="947"/>
      <c r="Y41" s="947"/>
      <c r="Z41" s="947"/>
      <c r="AA41" s="1179"/>
      <c r="AB41" s="947"/>
      <c r="AC41" s="947"/>
      <c r="AD41" s="947"/>
      <c r="AE41" s="947"/>
      <c r="AF41" s="947"/>
      <c r="AG41" s="947"/>
      <c r="AH41" s="947"/>
      <c r="AI41" s="1187"/>
      <c r="AJ41" s="1188"/>
      <c r="AK41" s="947"/>
      <c r="AL41" s="947" t="s">
        <v>645</v>
      </c>
      <c r="AM41" s="947" t="s">
        <v>646</v>
      </c>
      <c r="AN41" s="1188" t="s">
        <v>647</v>
      </c>
      <c r="AO41" s="1188" t="s">
        <v>647</v>
      </c>
      <c r="AP41" s="1188" t="s">
        <v>647</v>
      </c>
      <c r="AQ41" s="1179" t="s">
        <v>647</v>
      </c>
      <c r="AR41" s="1188" t="s">
        <v>647</v>
      </c>
      <c r="AS41" s="1188" t="s">
        <v>647</v>
      </c>
      <c r="AT41" s="1188" t="s">
        <v>647</v>
      </c>
      <c r="AU41" s="1188" t="s">
        <v>647</v>
      </c>
      <c r="AV41" s="1188" t="s">
        <v>647</v>
      </c>
      <c r="AW41" s="1188" t="s">
        <v>647</v>
      </c>
      <c r="AX41" s="1188" t="s">
        <v>647</v>
      </c>
      <c r="AY41" s="1179" t="s">
        <v>647</v>
      </c>
      <c r="AZ41" s="1188" t="s">
        <v>647</v>
      </c>
      <c r="BA41" s="1188" t="s">
        <v>647</v>
      </c>
      <c r="BB41" s="1188" t="s">
        <v>647</v>
      </c>
      <c r="BC41" s="1188" t="s">
        <v>647</v>
      </c>
      <c r="BD41" s="1188" t="s">
        <v>647</v>
      </c>
      <c r="BE41" s="1188" t="s">
        <v>647</v>
      </c>
      <c r="BF41" s="1188" t="s">
        <v>647</v>
      </c>
      <c r="BG41" s="1179" t="s">
        <v>647</v>
      </c>
      <c r="BH41" s="1188" t="s">
        <v>647</v>
      </c>
      <c r="BI41" s="1188" t="s">
        <v>647</v>
      </c>
      <c r="BJ41" s="1185" t="s">
        <v>647</v>
      </c>
      <c r="BK41" s="1185" t="s">
        <v>647</v>
      </c>
      <c r="BL41" s="1188" t="s">
        <v>647</v>
      </c>
      <c r="BM41" s="1188" t="s">
        <v>647</v>
      </c>
      <c r="BN41" s="1188" t="s">
        <v>647</v>
      </c>
      <c r="BO41" s="1179" t="s">
        <v>647</v>
      </c>
      <c r="BQ41" s="690"/>
      <c r="BR41" s="690"/>
      <c r="BS41" s="80"/>
      <c r="BT41" s="690"/>
      <c r="BX41" s="76"/>
      <c r="BY41" s="693">
        <f t="shared" si="6"/>
        <v>2051</v>
      </c>
      <c r="BZ41" s="690">
        <f t="shared" si="7"/>
        <v>212569139317900.75</v>
      </c>
      <c r="CA41" s="19">
        <f t="shared" si="4"/>
        <v>0.03</v>
      </c>
      <c r="CB41" s="693">
        <f t="shared" si="8"/>
        <v>6377074179537.0225</v>
      </c>
    </row>
    <row r="42" spans="1:80" ht="13.95" customHeight="1" x14ac:dyDescent="0.3">
      <c r="A42" s="938"/>
      <c r="B42" s="1177"/>
      <c r="C42" s="1178"/>
      <c r="D42" s="947"/>
      <c r="E42" s="947"/>
      <c r="F42" s="947"/>
      <c r="G42" s="947"/>
      <c r="H42" s="947"/>
      <c r="I42" s="947"/>
      <c r="J42" s="947"/>
      <c r="K42" s="1179"/>
      <c r="L42" s="947"/>
      <c r="M42" s="947"/>
      <c r="N42" s="947"/>
      <c r="O42" s="947"/>
      <c r="P42" s="947"/>
      <c r="Q42" s="947"/>
      <c r="R42" s="947"/>
      <c r="S42" s="1179"/>
      <c r="T42" s="947"/>
      <c r="U42" s="947"/>
      <c r="V42" s="947"/>
      <c r="W42" s="947"/>
      <c r="X42" s="947"/>
      <c r="Y42" s="947"/>
      <c r="Z42" s="947"/>
      <c r="AA42" s="1179"/>
      <c r="AB42" s="947"/>
      <c r="AC42" s="947"/>
      <c r="AD42" s="947"/>
      <c r="AE42" s="947"/>
      <c r="AF42" s="947"/>
      <c r="AG42" s="947"/>
      <c r="AH42" s="947"/>
      <c r="AI42" s="1187"/>
      <c r="AJ42" s="1188"/>
      <c r="AK42" s="947"/>
      <c r="AL42" s="947">
        <v>0</v>
      </c>
      <c r="AM42" s="947">
        <v>0</v>
      </c>
      <c r="AN42" s="1188">
        <f t="shared" ref="AN42:BO42" si="24">AN40*2</f>
        <v>262144</v>
      </c>
      <c r="AO42" s="1188">
        <f t="shared" si="24"/>
        <v>262144</v>
      </c>
      <c r="AP42" s="1188">
        <f t="shared" si="24"/>
        <v>262144</v>
      </c>
      <c r="AQ42" s="1179">
        <f t="shared" si="24"/>
        <v>262144</v>
      </c>
      <c r="AR42" s="1188">
        <f t="shared" si="24"/>
        <v>262144</v>
      </c>
      <c r="AS42" s="1188">
        <f t="shared" si="24"/>
        <v>262144</v>
      </c>
      <c r="AT42" s="1188">
        <f t="shared" si="24"/>
        <v>262144</v>
      </c>
      <c r="AU42" s="1188">
        <f t="shared" si="24"/>
        <v>262144</v>
      </c>
      <c r="AV42" s="1188">
        <f t="shared" si="24"/>
        <v>262144</v>
      </c>
      <c r="AW42" s="1188">
        <f t="shared" si="24"/>
        <v>262144</v>
      </c>
      <c r="AX42" s="1188">
        <f t="shared" si="24"/>
        <v>262144</v>
      </c>
      <c r="AY42" s="1179">
        <f t="shared" si="24"/>
        <v>262144</v>
      </c>
      <c r="AZ42" s="1188">
        <f t="shared" si="24"/>
        <v>262144</v>
      </c>
      <c r="BA42" s="1188">
        <f t="shared" si="24"/>
        <v>262144</v>
      </c>
      <c r="BB42" s="1188">
        <f t="shared" si="24"/>
        <v>262144</v>
      </c>
      <c r="BC42" s="1188">
        <f t="shared" si="24"/>
        <v>262144</v>
      </c>
      <c r="BD42" s="1188">
        <f t="shared" si="24"/>
        <v>262144</v>
      </c>
      <c r="BE42" s="1188">
        <f t="shared" si="24"/>
        <v>262144</v>
      </c>
      <c r="BF42" s="1188">
        <f t="shared" si="24"/>
        <v>262144</v>
      </c>
      <c r="BG42" s="1179">
        <f t="shared" si="24"/>
        <v>262144</v>
      </c>
      <c r="BH42" s="1188">
        <f t="shared" si="24"/>
        <v>262144</v>
      </c>
      <c r="BI42" s="1188">
        <f t="shared" si="24"/>
        <v>262144</v>
      </c>
      <c r="BJ42" s="1185">
        <f t="shared" si="24"/>
        <v>262144</v>
      </c>
      <c r="BK42" s="1185">
        <f t="shared" si="24"/>
        <v>262144</v>
      </c>
      <c r="BL42" s="1188">
        <f t="shared" si="24"/>
        <v>262144</v>
      </c>
      <c r="BM42" s="1188">
        <f t="shared" si="24"/>
        <v>262144</v>
      </c>
      <c r="BN42" s="1188">
        <f t="shared" si="24"/>
        <v>262144</v>
      </c>
      <c r="BO42" s="1179">
        <f t="shared" si="24"/>
        <v>262144</v>
      </c>
      <c r="BP42" s="42">
        <f>SUM(D42:BO42)</f>
        <v>7340032</v>
      </c>
      <c r="BQ42" s="690">
        <f>BQ14</f>
        <v>167772.16</v>
      </c>
      <c r="BR42" s="690">
        <f>BP42*BQ42</f>
        <v>1231453023109.1201</v>
      </c>
      <c r="BS42" s="80">
        <f>BS40/2</f>
        <v>3.814697265625E-6</v>
      </c>
      <c r="BT42" s="690">
        <f>BP42*BQ42*BS42</f>
        <v>4697620.4800000004</v>
      </c>
      <c r="BU42" s="1">
        <f>BP42*BS42</f>
        <v>28</v>
      </c>
      <c r="BX42" s="76"/>
      <c r="BY42" s="693">
        <f t="shared" si="6"/>
        <v>2052</v>
      </c>
      <c r="BZ42" s="690">
        <f t="shared" si="7"/>
        <v>218946213497437.78</v>
      </c>
      <c r="CA42" s="19">
        <f t="shared" si="4"/>
        <v>0.03</v>
      </c>
      <c r="CB42" s="693">
        <f t="shared" si="8"/>
        <v>6568386404923.1328</v>
      </c>
    </row>
    <row r="43" spans="1:80" ht="13.95" customHeight="1" x14ac:dyDescent="0.3">
      <c r="A43" s="938"/>
      <c r="B43" s="1177"/>
      <c r="C43" s="1178"/>
      <c r="D43" s="947"/>
      <c r="E43" s="947"/>
      <c r="F43" s="947"/>
      <c r="G43" s="947"/>
      <c r="H43" s="947"/>
      <c r="I43" s="947"/>
      <c r="J43" s="947"/>
      <c r="K43" s="1179"/>
      <c r="L43" s="947"/>
      <c r="M43" s="947"/>
      <c r="N43" s="947"/>
      <c r="O43" s="947"/>
      <c r="P43" s="947"/>
      <c r="Q43" s="947"/>
      <c r="R43" s="947"/>
      <c r="S43" s="1179"/>
      <c r="T43" s="947"/>
      <c r="U43" s="947"/>
      <c r="V43" s="947"/>
      <c r="W43" s="947"/>
      <c r="X43" s="947"/>
      <c r="Y43" s="947"/>
      <c r="Z43" s="947"/>
      <c r="AA43" s="1179"/>
      <c r="AB43" s="947"/>
      <c r="AC43" s="947"/>
      <c r="AD43" s="947"/>
      <c r="AE43" s="947"/>
      <c r="AF43" s="947"/>
      <c r="AG43" s="947"/>
      <c r="AH43" s="947"/>
      <c r="AI43" s="1187"/>
      <c r="AJ43" s="1188"/>
      <c r="AK43" s="947"/>
      <c r="AL43" s="947"/>
      <c r="AM43" s="947"/>
      <c r="AN43" s="947" t="s">
        <v>645</v>
      </c>
      <c r="AO43" s="947" t="s">
        <v>646</v>
      </c>
      <c r="AP43" s="1188" t="s">
        <v>647</v>
      </c>
      <c r="AQ43" s="1179" t="s">
        <v>647</v>
      </c>
      <c r="AR43" s="1188" t="s">
        <v>647</v>
      </c>
      <c r="AS43" s="1188" t="s">
        <v>647</v>
      </c>
      <c r="AT43" s="1188" t="s">
        <v>647</v>
      </c>
      <c r="AU43" s="1188" t="s">
        <v>647</v>
      </c>
      <c r="AV43" s="1188" t="s">
        <v>647</v>
      </c>
      <c r="AW43" s="1188" t="s">
        <v>647</v>
      </c>
      <c r="AX43" s="1188" t="s">
        <v>647</v>
      </c>
      <c r="AY43" s="1179" t="s">
        <v>647</v>
      </c>
      <c r="AZ43" s="1188" t="s">
        <v>647</v>
      </c>
      <c r="BA43" s="1188" t="s">
        <v>647</v>
      </c>
      <c r="BB43" s="1188" t="s">
        <v>647</v>
      </c>
      <c r="BC43" s="1188" t="s">
        <v>647</v>
      </c>
      <c r="BD43" s="1188" t="s">
        <v>647</v>
      </c>
      <c r="BE43" s="1188" t="s">
        <v>647</v>
      </c>
      <c r="BF43" s="1188" t="s">
        <v>647</v>
      </c>
      <c r="BG43" s="1179" t="s">
        <v>647</v>
      </c>
      <c r="BH43" s="1188" t="s">
        <v>647</v>
      </c>
      <c r="BI43" s="1188" t="s">
        <v>647</v>
      </c>
      <c r="BJ43" s="1185" t="s">
        <v>647</v>
      </c>
      <c r="BK43" s="1185" t="s">
        <v>647</v>
      </c>
      <c r="BL43" s="1188" t="s">
        <v>647</v>
      </c>
      <c r="BM43" s="1188" t="s">
        <v>647</v>
      </c>
      <c r="BN43" s="1188" t="s">
        <v>647</v>
      </c>
      <c r="BO43" s="1179" t="s">
        <v>647</v>
      </c>
      <c r="BQ43" s="690"/>
      <c r="BR43" s="690"/>
      <c r="BS43" s="80"/>
      <c r="BT43" s="690"/>
      <c r="BX43" s="76"/>
      <c r="BY43" s="693">
        <f t="shared" si="6"/>
        <v>2053</v>
      </c>
      <c r="BZ43" s="690">
        <f t="shared" si="7"/>
        <v>225514599902360.91</v>
      </c>
      <c r="CA43" s="19">
        <f t="shared" si="4"/>
        <v>0.03</v>
      </c>
      <c r="CB43" s="693">
        <f t="shared" si="8"/>
        <v>6765437997070.8271</v>
      </c>
    </row>
    <row r="44" spans="1:80" ht="13.95" customHeight="1" x14ac:dyDescent="0.3">
      <c r="A44" s="938"/>
      <c r="B44" s="1177"/>
      <c r="C44" s="1178"/>
      <c r="D44" s="947"/>
      <c r="E44" s="947"/>
      <c r="F44" s="947"/>
      <c r="G44" s="947"/>
      <c r="H44" s="947"/>
      <c r="I44" s="947"/>
      <c r="J44" s="947"/>
      <c r="K44" s="1179"/>
      <c r="L44" s="947"/>
      <c r="M44" s="947"/>
      <c r="N44" s="947"/>
      <c r="O44" s="947"/>
      <c r="P44" s="947"/>
      <c r="Q44" s="947"/>
      <c r="R44" s="947"/>
      <c r="S44" s="1179"/>
      <c r="T44" s="947"/>
      <c r="U44" s="947"/>
      <c r="V44" s="947"/>
      <c r="W44" s="947"/>
      <c r="X44" s="947"/>
      <c r="Y44" s="947"/>
      <c r="Z44" s="947"/>
      <c r="AA44" s="1179"/>
      <c r="AB44" s="947"/>
      <c r="AC44" s="947"/>
      <c r="AD44" s="947"/>
      <c r="AE44" s="947"/>
      <c r="AF44" s="947"/>
      <c r="AG44" s="947"/>
      <c r="AH44" s="947"/>
      <c r="AI44" s="1187"/>
      <c r="AJ44" s="1188"/>
      <c r="AK44" s="947"/>
      <c r="AL44" s="947"/>
      <c r="AM44" s="947"/>
      <c r="AN44" s="947">
        <v>0</v>
      </c>
      <c r="AO44" s="947">
        <v>0</v>
      </c>
      <c r="AP44" s="1188">
        <f t="shared" ref="AP44:BO44" si="25">AP42*2</f>
        <v>524288</v>
      </c>
      <c r="AQ44" s="1179">
        <f t="shared" si="25"/>
        <v>524288</v>
      </c>
      <c r="AR44" s="1188">
        <f t="shared" si="25"/>
        <v>524288</v>
      </c>
      <c r="AS44" s="1188">
        <f t="shared" si="25"/>
        <v>524288</v>
      </c>
      <c r="AT44" s="1188">
        <f t="shared" si="25"/>
        <v>524288</v>
      </c>
      <c r="AU44" s="1188">
        <f t="shared" si="25"/>
        <v>524288</v>
      </c>
      <c r="AV44" s="1188">
        <f t="shared" si="25"/>
        <v>524288</v>
      </c>
      <c r="AW44" s="1188">
        <f t="shared" si="25"/>
        <v>524288</v>
      </c>
      <c r="AX44" s="1188">
        <f t="shared" si="25"/>
        <v>524288</v>
      </c>
      <c r="AY44" s="1179">
        <f t="shared" si="25"/>
        <v>524288</v>
      </c>
      <c r="AZ44" s="1188">
        <f t="shared" si="25"/>
        <v>524288</v>
      </c>
      <c r="BA44" s="1188">
        <f t="shared" si="25"/>
        <v>524288</v>
      </c>
      <c r="BB44" s="1188">
        <f t="shared" si="25"/>
        <v>524288</v>
      </c>
      <c r="BC44" s="1188">
        <f t="shared" si="25"/>
        <v>524288</v>
      </c>
      <c r="BD44" s="1188">
        <f t="shared" si="25"/>
        <v>524288</v>
      </c>
      <c r="BE44" s="1188">
        <f t="shared" si="25"/>
        <v>524288</v>
      </c>
      <c r="BF44" s="1188">
        <f t="shared" si="25"/>
        <v>524288</v>
      </c>
      <c r="BG44" s="1179">
        <f t="shared" si="25"/>
        <v>524288</v>
      </c>
      <c r="BH44" s="1188">
        <f t="shared" si="25"/>
        <v>524288</v>
      </c>
      <c r="BI44" s="1188">
        <f t="shared" si="25"/>
        <v>524288</v>
      </c>
      <c r="BJ44" s="1185">
        <f t="shared" si="25"/>
        <v>524288</v>
      </c>
      <c r="BK44" s="1185">
        <f t="shared" si="25"/>
        <v>524288</v>
      </c>
      <c r="BL44" s="1188">
        <f t="shared" si="25"/>
        <v>524288</v>
      </c>
      <c r="BM44" s="1188">
        <f t="shared" si="25"/>
        <v>524288</v>
      </c>
      <c r="BN44" s="1188">
        <f t="shared" si="25"/>
        <v>524288</v>
      </c>
      <c r="BO44" s="1179">
        <f t="shared" si="25"/>
        <v>524288</v>
      </c>
      <c r="BP44" s="42">
        <f>SUM(D44:BO44)</f>
        <v>13631488</v>
      </c>
      <c r="BQ44" s="690">
        <f>BQ16</f>
        <v>167772.16</v>
      </c>
      <c r="BR44" s="690">
        <f>BP44*BQ44</f>
        <v>2286984185774.0801</v>
      </c>
      <c r="BS44" s="80">
        <f>BS42/2</f>
        <v>1.9073486328125E-6</v>
      </c>
      <c r="BT44" s="690">
        <f>BP44*BQ44*BS44</f>
        <v>4362076.1600000001</v>
      </c>
      <c r="BU44" s="1">
        <f>BP44*BS44</f>
        <v>26</v>
      </c>
      <c r="BX44" s="76"/>
      <c r="BY44" s="693">
        <f t="shared" si="6"/>
        <v>2054</v>
      </c>
      <c r="BZ44" s="690">
        <f t="shared" si="7"/>
        <v>232280037899431.72</v>
      </c>
      <c r="CA44" s="19">
        <f t="shared" si="4"/>
        <v>0.03</v>
      </c>
      <c r="CB44" s="693">
        <f t="shared" si="8"/>
        <v>6968401136982.9512</v>
      </c>
    </row>
    <row r="45" spans="1:80" ht="13.95" customHeight="1" x14ac:dyDescent="0.3">
      <c r="A45" s="938"/>
      <c r="B45" s="1177"/>
      <c r="C45" s="1178"/>
      <c r="D45" s="947"/>
      <c r="E45" s="947"/>
      <c r="F45" s="947"/>
      <c r="G45" s="947"/>
      <c r="H45" s="947"/>
      <c r="I45" s="947"/>
      <c r="J45" s="947"/>
      <c r="K45" s="1179"/>
      <c r="L45" s="947"/>
      <c r="M45" s="947"/>
      <c r="N45" s="947"/>
      <c r="O45" s="947"/>
      <c r="P45" s="947"/>
      <c r="Q45" s="947"/>
      <c r="R45" s="947"/>
      <c r="S45" s="1179"/>
      <c r="T45" s="947"/>
      <c r="U45" s="947"/>
      <c r="V45" s="947"/>
      <c r="W45" s="947"/>
      <c r="X45" s="947"/>
      <c r="Y45" s="947"/>
      <c r="Z45" s="947"/>
      <c r="AA45" s="1179"/>
      <c r="AB45" s="947"/>
      <c r="AC45" s="947"/>
      <c r="AD45" s="947"/>
      <c r="AE45" s="947"/>
      <c r="AF45" s="947"/>
      <c r="AG45" s="947"/>
      <c r="AH45" s="947"/>
      <c r="AI45" s="1187"/>
      <c r="AJ45" s="1188"/>
      <c r="AK45" s="947"/>
      <c r="AL45" s="947"/>
      <c r="AM45" s="947"/>
      <c r="AN45" s="947"/>
      <c r="AO45" s="947"/>
      <c r="AP45" s="947" t="s">
        <v>645</v>
      </c>
      <c r="AQ45" s="1179" t="s">
        <v>646</v>
      </c>
      <c r="AR45" s="1188" t="s">
        <v>647</v>
      </c>
      <c r="AS45" s="1188" t="s">
        <v>647</v>
      </c>
      <c r="AT45" s="1188" t="s">
        <v>647</v>
      </c>
      <c r="AU45" s="1188" t="s">
        <v>647</v>
      </c>
      <c r="AV45" s="1188" t="s">
        <v>647</v>
      </c>
      <c r="AW45" s="1188" t="s">
        <v>647</v>
      </c>
      <c r="AX45" s="1188" t="s">
        <v>647</v>
      </c>
      <c r="AY45" s="1179" t="s">
        <v>647</v>
      </c>
      <c r="AZ45" s="1188" t="s">
        <v>647</v>
      </c>
      <c r="BA45" s="1188" t="s">
        <v>647</v>
      </c>
      <c r="BB45" s="1188" t="s">
        <v>647</v>
      </c>
      <c r="BC45" s="1188" t="s">
        <v>647</v>
      </c>
      <c r="BD45" s="1188" t="s">
        <v>647</v>
      </c>
      <c r="BE45" s="1188" t="s">
        <v>647</v>
      </c>
      <c r="BF45" s="1188" t="s">
        <v>647</v>
      </c>
      <c r="BG45" s="1179" t="s">
        <v>647</v>
      </c>
      <c r="BH45" s="1188" t="s">
        <v>647</v>
      </c>
      <c r="BI45" s="1188" t="s">
        <v>647</v>
      </c>
      <c r="BJ45" s="1185" t="s">
        <v>647</v>
      </c>
      <c r="BK45" s="1185" t="s">
        <v>647</v>
      </c>
      <c r="BL45" s="1188" t="s">
        <v>647</v>
      </c>
      <c r="BM45" s="1188" t="s">
        <v>647</v>
      </c>
      <c r="BN45" s="1188" t="s">
        <v>647</v>
      </c>
      <c r="BO45" s="1179" t="s">
        <v>647</v>
      </c>
      <c r="BQ45" s="690"/>
      <c r="BR45" s="690"/>
      <c r="BS45" s="80"/>
      <c r="BT45" s="690"/>
      <c r="BX45" s="76"/>
      <c r="BY45" s="693">
        <f t="shared" si="6"/>
        <v>2055</v>
      </c>
      <c r="BZ45" s="690">
        <f t="shared" si="7"/>
        <v>239248439036414.66</v>
      </c>
      <c r="CA45" s="19">
        <f t="shared" si="4"/>
        <v>0.03</v>
      </c>
      <c r="CB45" s="693">
        <f t="shared" si="8"/>
        <v>7177453171092.4395</v>
      </c>
    </row>
    <row r="46" spans="1:80" ht="13.95" customHeight="1" x14ac:dyDescent="0.3">
      <c r="A46" s="938"/>
      <c r="B46" s="1177"/>
      <c r="C46" s="1178"/>
      <c r="D46" s="947"/>
      <c r="E46" s="947"/>
      <c r="F46" s="947"/>
      <c r="G46" s="947"/>
      <c r="H46" s="947"/>
      <c r="I46" s="947"/>
      <c r="J46" s="947"/>
      <c r="K46" s="1179"/>
      <c r="L46" s="947"/>
      <c r="M46" s="947"/>
      <c r="N46" s="947"/>
      <c r="O46" s="947"/>
      <c r="P46" s="947"/>
      <c r="Q46" s="947"/>
      <c r="R46" s="947"/>
      <c r="S46" s="1179"/>
      <c r="T46" s="947"/>
      <c r="U46" s="947"/>
      <c r="V46" s="947"/>
      <c r="W46" s="947"/>
      <c r="X46" s="947"/>
      <c r="Y46" s="947"/>
      <c r="Z46" s="947"/>
      <c r="AA46" s="1179"/>
      <c r="AB46" s="947"/>
      <c r="AC46" s="947"/>
      <c r="AD46" s="947"/>
      <c r="AE46" s="947"/>
      <c r="AF46" s="947"/>
      <c r="AG46" s="947"/>
      <c r="AH46" s="947"/>
      <c r="AI46" s="1187"/>
      <c r="AJ46" s="1188"/>
      <c r="AK46" s="947"/>
      <c r="AL46" s="947"/>
      <c r="AM46" s="947"/>
      <c r="AN46" s="947"/>
      <c r="AO46" s="947"/>
      <c r="AP46" s="947">
        <v>0</v>
      </c>
      <c r="AQ46" s="1179">
        <v>0</v>
      </c>
      <c r="AR46" s="1188">
        <f t="shared" ref="AR46:BO46" si="26">AR44*2</f>
        <v>1048576</v>
      </c>
      <c r="AS46" s="1188">
        <f t="shared" si="26"/>
        <v>1048576</v>
      </c>
      <c r="AT46" s="1188">
        <f t="shared" si="26"/>
        <v>1048576</v>
      </c>
      <c r="AU46" s="1188">
        <f t="shared" si="26"/>
        <v>1048576</v>
      </c>
      <c r="AV46" s="1188">
        <f t="shared" si="26"/>
        <v>1048576</v>
      </c>
      <c r="AW46" s="1188">
        <f t="shared" si="26"/>
        <v>1048576</v>
      </c>
      <c r="AX46" s="1188">
        <f t="shared" si="26"/>
        <v>1048576</v>
      </c>
      <c r="AY46" s="1179">
        <f t="shared" si="26"/>
        <v>1048576</v>
      </c>
      <c r="AZ46" s="1188">
        <f t="shared" si="26"/>
        <v>1048576</v>
      </c>
      <c r="BA46" s="1188">
        <f t="shared" si="26"/>
        <v>1048576</v>
      </c>
      <c r="BB46" s="1188">
        <f t="shared" si="26"/>
        <v>1048576</v>
      </c>
      <c r="BC46" s="1188">
        <f t="shared" si="26"/>
        <v>1048576</v>
      </c>
      <c r="BD46" s="1188">
        <f t="shared" si="26"/>
        <v>1048576</v>
      </c>
      <c r="BE46" s="1188">
        <f t="shared" si="26"/>
        <v>1048576</v>
      </c>
      <c r="BF46" s="1188">
        <f t="shared" si="26"/>
        <v>1048576</v>
      </c>
      <c r="BG46" s="1179">
        <f t="shared" si="26"/>
        <v>1048576</v>
      </c>
      <c r="BH46" s="1188">
        <f t="shared" si="26"/>
        <v>1048576</v>
      </c>
      <c r="BI46" s="1188">
        <f t="shared" si="26"/>
        <v>1048576</v>
      </c>
      <c r="BJ46" s="1185">
        <f t="shared" si="26"/>
        <v>1048576</v>
      </c>
      <c r="BK46" s="1185">
        <f t="shared" si="26"/>
        <v>1048576</v>
      </c>
      <c r="BL46" s="1188">
        <f t="shared" si="26"/>
        <v>1048576</v>
      </c>
      <c r="BM46" s="1188">
        <f t="shared" si="26"/>
        <v>1048576</v>
      </c>
      <c r="BN46" s="1188">
        <f t="shared" si="26"/>
        <v>1048576</v>
      </c>
      <c r="BO46" s="1179">
        <f t="shared" si="26"/>
        <v>1048576</v>
      </c>
      <c r="BP46" s="42">
        <f>SUM(D46:BO46)</f>
        <v>25165824</v>
      </c>
      <c r="BQ46" s="690">
        <f>BQ18</f>
        <v>167772.16</v>
      </c>
      <c r="BR46" s="690">
        <f>BP46*BQ46</f>
        <v>4222124650659.8398</v>
      </c>
      <c r="BS46" s="80">
        <f>BS44/2</f>
        <v>9.5367431640625E-7</v>
      </c>
      <c r="BT46" s="690">
        <f>BP46*BQ46*BS46</f>
        <v>4026531.8399999999</v>
      </c>
      <c r="BU46" s="1">
        <f>BP46*BS46</f>
        <v>24</v>
      </c>
      <c r="BX46" s="76"/>
      <c r="BY46" s="693">
        <f t="shared" si="6"/>
        <v>2056</v>
      </c>
      <c r="BZ46" s="690">
        <f t="shared" si="7"/>
        <v>246425892207507.09</v>
      </c>
      <c r="CA46" s="19">
        <f t="shared" si="4"/>
        <v>0.03</v>
      </c>
      <c r="CB46" s="693">
        <f t="shared" si="8"/>
        <v>7392776766225.2129</v>
      </c>
    </row>
    <row r="47" spans="1:80" ht="13.95" customHeight="1" x14ac:dyDescent="0.3">
      <c r="A47" s="938"/>
      <c r="B47" s="1177"/>
      <c r="C47" s="1178"/>
      <c r="D47" s="947"/>
      <c r="E47" s="947"/>
      <c r="F47" s="947"/>
      <c r="G47" s="947"/>
      <c r="H47" s="947"/>
      <c r="I47" s="947"/>
      <c r="J47" s="947"/>
      <c r="K47" s="1179"/>
      <c r="L47" s="947"/>
      <c r="M47" s="947"/>
      <c r="N47" s="947"/>
      <c r="O47" s="947"/>
      <c r="P47" s="947"/>
      <c r="Q47" s="947"/>
      <c r="R47" s="947"/>
      <c r="S47" s="1179"/>
      <c r="T47" s="947"/>
      <c r="U47" s="947"/>
      <c r="V47" s="947"/>
      <c r="W47" s="947"/>
      <c r="X47" s="947"/>
      <c r="Y47" s="947"/>
      <c r="Z47" s="947"/>
      <c r="AA47" s="1179"/>
      <c r="AB47" s="947"/>
      <c r="AC47" s="947"/>
      <c r="AD47" s="947"/>
      <c r="AE47" s="947"/>
      <c r="AF47" s="947"/>
      <c r="AG47" s="947"/>
      <c r="AH47" s="947"/>
      <c r="AI47" s="1187"/>
      <c r="AJ47" s="1188"/>
      <c r="AK47" s="947"/>
      <c r="AL47" s="947"/>
      <c r="AM47" s="947"/>
      <c r="AN47" s="947"/>
      <c r="AO47" s="947"/>
      <c r="AP47" s="947"/>
      <c r="AQ47" s="1179"/>
      <c r="AR47" s="947" t="s">
        <v>645</v>
      </c>
      <c r="AS47" s="947" t="s">
        <v>646</v>
      </c>
      <c r="AT47" s="1188" t="s">
        <v>647</v>
      </c>
      <c r="AU47" s="1188" t="s">
        <v>647</v>
      </c>
      <c r="AV47" s="1188" t="s">
        <v>647</v>
      </c>
      <c r="AW47" s="1188" t="s">
        <v>647</v>
      </c>
      <c r="AX47" s="1188" t="s">
        <v>647</v>
      </c>
      <c r="AY47" s="1179" t="s">
        <v>647</v>
      </c>
      <c r="AZ47" s="1188" t="s">
        <v>647</v>
      </c>
      <c r="BA47" s="1188" t="s">
        <v>647</v>
      </c>
      <c r="BB47" s="1188" t="s">
        <v>647</v>
      </c>
      <c r="BC47" s="1188" t="s">
        <v>647</v>
      </c>
      <c r="BD47" s="1188" t="s">
        <v>647</v>
      </c>
      <c r="BE47" s="1188" t="s">
        <v>647</v>
      </c>
      <c r="BF47" s="1188" t="s">
        <v>647</v>
      </c>
      <c r="BG47" s="1179" t="s">
        <v>647</v>
      </c>
      <c r="BH47" s="1188" t="s">
        <v>647</v>
      </c>
      <c r="BI47" s="1188" t="s">
        <v>647</v>
      </c>
      <c r="BJ47" s="1185" t="s">
        <v>647</v>
      </c>
      <c r="BK47" s="1185" t="s">
        <v>647</v>
      </c>
      <c r="BL47" s="1188" t="s">
        <v>647</v>
      </c>
      <c r="BM47" s="1188" t="s">
        <v>647</v>
      </c>
      <c r="BN47" s="1188" t="s">
        <v>647</v>
      </c>
      <c r="BO47" s="1179" t="s">
        <v>647</v>
      </c>
      <c r="BQ47" s="690"/>
      <c r="BR47" s="690"/>
      <c r="BS47" s="80"/>
      <c r="BT47" s="690"/>
      <c r="BX47" s="76"/>
      <c r="BY47" s="693">
        <f t="shared" si="6"/>
        <v>2057</v>
      </c>
      <c r="BZ47" s="690">
        <f t="shared" si="7"/>
        <v>253818668973732.31</v>
      </c>
      <c r="CA47" s="19">
        <f t="shared" si="4"/>
        <v>0.03</v>
      </c>
      <c r="CB47" s="693">
        <f t="shared" si="8"/>
        <v>7614560069211.9688</v>
      </c>
    </row>
    <row r="48" spans="1:80" ht="13.95" customHeight="1" x14ac:dyDescent="0.3">
      <c r="A48" s="938"/>
      <c r="B48" s="1177"/>
      <c r="C48" s="1178"/>
      <c r="D48" s="947"/>
      <c r="E48" s="947"/>
      <c r="F48" s="947"/>
      <c r="G48" s="947"/>
      <c r="H48" s="947"/>
      <c r="I48" s="947"/>
      <c r="J48" s="947"/>
      <c r="K48" s="1179"/>
      <c r="L48" s="947"/>
      <c r="M48" s="947"/>
      <c r="N48" s="947"/>
      <c r="O48" s="947"/>
      <c r="P48" s="947"/>
      <c r="Q48" s="947"/>
      <c r="R48" s="947"/>
      <c r="S48" s="1179"/>
      <c r="T48" s="947"/>
      <c r="U48" s="947"/>
      <c r="V48" s="947"/>
      <c r="W48" s="947"/>
      <c r="X48" s="947"/>
      <c r="Y48" s="947"/>
      <c r="Z48" s="947"/>
      <c r="AA48" s="1179"/>
      <c r="AB48" s="947"/>
      <c r="AC48" s="947"/>
      <c r="AD48" s="947"/>
      <c r="AE48" s="947"/>
      <c r="AF48" s="947"/>
      <c r="AG48" s="947"/>
      <c r="AH48" s="947"/>
      <c r="AI48" s="1187"/>
      <c r="AJ48" s="1188"/>
      <c r="AK48" s="947"/>
      <c r="AL48" s="947"/>
      <c r="AM48" s="947"/>
      <c r="AN48" s="947"/>
      <c r="AO48" s="947"/>
      <c r="AP48" s="947"/>
      <c r="AQ48" s="1179"/>
      <c r="AR48" s="947">
        <v>0</v>
      </c>
      <c r="AS48" s="947">
        <v>0</v>
      </c>
      <c r="AT48" s="1188">
        <f t="shared" ref="AT48:BO48" si="27">AT46*2</f>
        <v>2097152</v>
      </c>
      <c r="AU48" s="1188">
        <f t="shared" si="27"/>
        <v>2097152</v>
      </c>
      <c r="AV48" s="1188">
        <f t="shared" si="27"/>
        <v>2097152</v>
      </c>
      <c r="AW48" s="1188">
        <f t="shared" si="27"/>
        <v>2097152</v>
      </c>
      <c r="AX48" s="1188">
        <f t="shared" si="27"/>
        <v>2097152</v>
      </c>
      <c r="AY48" s="1179">
        <f t="shared" si="27"/>
        <v>2097152</v>
      </c>
      <c r="AZ48" s="1188">
        <f t="shared" si="27"/>
        <v>2097152</v>
      </c>
      <c r="BA48" s="1188">
        <f t="shared" si="27"/>
        <v>2097152</v>
      </c>
      <c r="BB48" s="1188">
        <f t="shared" si="27"/>
        <v>2097152</v>
      </c>
      <c r="BC48" s="1188">
        <f t="shared" si="27"/>
        <v>2097152</v>
      </c>
      <c r="BD48" s="1188">
        <f t="shared" si="27"/>
        <v>2097152</v>
      </c>
      <c r="BE48" s="1188">
        <f t="shared" si="27"/>
        <v>2097152</v>
      </c>
      <c r="BF48" s="1188">
        <f t="shared" si="27"/>
        <v>2097152</v>
      </c>
      <c r="BG48" s="1179">
        <f t="shared" si="27"/>
        <v>2097152</v>
      </c>
      <c r="BH48" s="1188">
        <f t="shared" si="27"/>
        <v>2097152</v>
      </c>
      <c r="BI48" s="1188">
        <f t="shared" si="27"/>
        <v>2097152</v>
      </c>
      <c r="BJ48" s="1185">
        <f t="shared" si="27"/>
        <v>2097152</v>
      </c>
      <c r="BK48" s="1185">
        <f t="shared" si="27"/>
        <v>2097152</v>
      </c>
      <c r="BL48" s="1188">
        <f t="shared" si="27"/>
        <v>2097152</v>
      </c>
      <c r="BM48" s="1188">
        <f t="shared" si="27"/>
        <v>2097152</v>
      </c>
      <c r="BN48" s="1188">
        <f t="shared" si="27"/>
        <v>2097152</v>
      </c>
      <c r="BO48" s="1179">
        <f t="shared" si="27"/>
        <v>2097152</v>
      </c>
      <c r="BP48" s="42">
        <f>SUM(D48:BO48)</f>
        <v>46137344</v>
      </c>
      <c r="BQ48" s="690">
        <f>BQ20</f>
        <v>167772.16</v>
      </c>
      <c r="BR48" s="690">
        <f>BP48*BQ48</f>
        <v>7740561859543.04</v>
      </c>
      <c r="BS48" s="80">
        <f>BS46/2</f>
        <v>4.76837158203125E-7</v>
      </c>
      <c r="BT48" s="690">
        <f>BP48*BQ48*BS48</f>
        <v>3690987.52</v>
      </c>
      <c r="BU48" s="1">
        <f>BP48*BS48</f>
        <v>22</v>
      </c>
      <c r="BX48" s="76"/>
      <c r="BY48" s="693">
        <f t="shared" si="6"/>
        <v>2058</v>
      </c>
      <c r="BZ48" s="690">
        <f t="shared" si="7"/>
        <v>261433229042944.28</v>
      </c>
      <c r="CA48" s="19">
        <f t="shared" si="4"/>
        <v>0.03</v>
      </c>
      <c r="CB48" s="693">
        <f t="shared" si="8"/>
        <v>7842996871288.3281</v>
      </c>
    </row>
    <row r="49" spans="1:80" ht="13.95" customHeight="1" x14ac:dyDescent="0.3">
      <c r="A49" s="938"/>
      <c r="B49" s="1177"/>
      <c r="C49" s="1178"/>
      <c r="D49" s="947"/>
      <c r="E49" s="947"/>
      <c r="F49" s="947"/>
      <c r="G49" s="947"/>
      <c r="H49" s="947"/>
      <c r="I49" s="947"/>
      <c r="J49" s="947"/>
      <c r="K49" s="1179"/>
      <c r="L49" s="947"/>
      <c r="M49" s="947"/>
      <c r="N49" s="947"/>
      <c r="O49" s="947"/>
      <c r="P49" s="947"/>
      <c r="Q49" s="947"/>
      <c r="R49" s="947"/>
      <c r="S49" s="1179"/>
      <c r="T49" s="947"/>
      <c r="U49" s="947"/>
      <c r="V49" s="947"/>
      <c r="W49" s="947"/>
      <c r="X49" s="947"/>
      <c r="Y49" s="947"/>
      <c r="Z49" s="947"/>
      <c r="AA49" s="1179"/>
      <c r="AB49" s="947"/>
      <c r="AC49" s="947"/>
      <c r="AD49" s="947"/>
      <c r="AE49" s="947"/>
      <c r="AF49" s="947"/>
      <c r="AG49" s="947"/>
      <c r="AH49" s="947"/>
      <c r="AI49" s="1187"/>
      <c r="AJ49" s="1188"/>
      <c r="AK49" s="947"/>
      <c r="AL49" s="947"/>
      <c r="AM49" s="947"/>
      <c r="AN49" s="947"/>
      <c r="AO49" s="947"/>
      <c r="AP49" s="947"/>
      <c r="AQ49" s="1179"/>
      <c r="AR49" s="947"/>
      <c r="AS49" s="947"/>
      <c r="AT49" s="947" t="s">
        <v>645</v>
      </c>
      <c r="AU49" s="947" t="s">
        <v>646</v>
      </c>
      <c r="AV49" s="1188" t="s">
        <v>647</v>
      </c>
      <c r="AW49" s="1188" t="s">
        <v>647</v>
      </c>
      <c r="AX49" s="1188" t="s">
        <v>647</v>
      </c>
      <c r="AY49" s="1179" t="s">
        <v>647</v>
      </c>
      <c r="AZ49" s="1188" t="s">
        <v>647</v>
      </c>
      <c r="BA49" s="1188" t="s">
        <v>647</v>
      </c>
      <c r="BB49" s="1188" t="s">
        <v>647</v>
      </c>
      <c r="BC49" s="1188" t="s">
        <v>647</v>
      </c>
      <c r="BD49" s="1188" t="s">
        <v>647</v>
      </c>
      <c r="BE49" s="1188" t="s">
        <v>647</v>
      </c>
      <c r="BF49" s="1188" t="s">
        <v>647</v>
      </c>
      <c r="BG49" s="1179" t="s">
        <v>647</v>
      </c>
      <c r="BH49" s="1188" t="s">
        <v>647</v>
      </c>
      <c r="BI49" s="1188" t="s">
        <v>647</v>
      </c>
      <c r="BJ49" s="1185" t="s">
        <v>647</v>
      </c>
      <c r="BK49" s="1185" t="s">
        <v>647</v>
      </c>
      <c r="BL49" s="1188" t="s">
        <v>647</v>
      </c>
      <c r="BM49" s="1188" t="s">
        <v>647</v>
      </c>
      <c r="BN49" s="1188" t="s">
        <v>647</v>
      </c>
      <c r="BO49" s="1179" t="s">
        <v>647</v>
      </c>
      <c r="BQ49" s="690"/>
      <c r="BR49" s="690"/>
      <c r="BS49" s="80"/>
      <c r="BT49" s="690"/>
      <c r="BX49" s="76"/>
      <c r="BY49" s="693">
        <f t="shared" si="6"/>
        <v>2059</v>
      </c>
      <c r="BZ49" s="690">
        <f t="shared" si="7"/>
        <v>269276225914232.63</v>
      </c>
      <c r="CA49" s="19">
        <f t="shared" si="4"/>
        <v>0.03</v>
      </c>
      <c r="CB49" s="693">
        <f t="shared" si="8"/>
        <v>8078286777426.9785</v>
      </c>
    </row>
    <row r="50" spans="1:80" ht="13.95" customHeight="1" x14ac:dyDescent="0.3">
      <c r="A50" s="938"/>
      <c r="B50" s="1177"/>
      <c r="C50" s="1178"/>
      <c r="D50" s="947"/>
      <c r="E50" s="947"/>
      <c r="F50" s="947"/>
      <c r="G50" s="947"/>
      <c r="H50" s="947"/>
      <c r="I50" s="947"/>
      <c r="J50" s="947"/>
      <c r="K50" s="1179"/>
      <c r="L50" s="947"/>
      <c r="M50" s="947"/>
      <c r="N50" s="947"/>
      <c r="O50" s="947"/>
      <c r="P50" s="947"/>
      <c r="Q50" s="947"/>
      <c r="R50" s="947"/>
      <c r="S50" s="1179"/>
      <c r="T50" s="947"/>
      <c r="U50" s="947"/>
      <c r="V50" s="947"/>
      <c r="W50" s="947"/>
      <c r="X50" s="947"/>
      <c r="Y50" s="947"/>
      <c r="Z50" s="947"/>
      <c r="AA50" s="1179"/>
      <c r="AB50" s="947"/>
      <c r="AC50" s="947"/>
      <c r="AD50" s="947"/>
      <c r="AE50" s="947"/>
      <c r="AF50" s="947"/>
      <c r="AG50" s="947"/>
      <c r="AH50" s="947"/>
      <c r="AI50" s="1187"/>
      <c r="AJ50" s="1188"/>
      <c r="AK50" s="947"/>
      <c r="AL50" s="947"/>
      <c r="AM50" s="947"/>
      <c r="AN50" s="947"/>
      <c r="AO50" s="947"/>
      <c r="AP50" s="947"/>
      <c r="AQ50" s="1179"/>
      <c r="AR50" s="947"/>
      <c r="AS50" s="947"/>
      <c r="AT50" s="947">
        <v>0</v>
      </c>
      <c r="AU50" s="947">
        <v>0</v>
      </c>
      <c r="AV50" s="1188">
        <f t="shared" ref="AV50:BO50" si="28">AV48*2</f>
        <v>4194304</v>
      </c>
      <c r="AW50" s="1188">
        <f t="shared" si="28"/>
        <v>4194304</v>
      </c>
      <c r="AX50" s="1188">
        <f t="shared" si="28"/>
        <v>4194304</v>
      </c>
      <c r="AY50" s="1179">
        <f t="shared" si="28"/>
        <v>4194304</v>
      </c>
      <c r="AZ50" s="1188">
        <f t="shared" si="28"/>
        <v>4194304</v>
      </c>
      <c r="BA50" s="1188">
        <f t="shared" si="28"/>
        <v>4194304</v>
      </c>
      <c r="BB50" s="1188">
        <f t="shared" si="28"/>
        <v>4194304</v>
      </c>
      <c r="BC50" s="1188">
        <f t="shared" si="28"/>
        <v>4194304</v>
      </c>
      <c r="BD50" s="1188">
        <f t="shared" si="28"/>
        <v>4194304</v>
      </c>
      <c r="BE50" s="1188">
        <f t="shared" si="28"/>
        <v>4194304</v>
      </c>
      <c r="BF50" s="1188">
        <f t="shared" si="28"/>
        <v>4194304</v>
      </c>
      <c r="BG50" s="1179">
        <f t="shared" si="28"/>
        <v>4194304</v>
      </c>
      <c r="BH50" s="1188">
        <f t="shared" si="28"/>
        <v>4194304</v>
      </c>
      <c r="BI50" s="1188">
        <f t="shared" si="28"/>
        <v>4194304</v>
      </c>
      <c r="BJ50" s="1185">
        <f t="shared" si="28"/>
        <v>4194304</v>
      </c>
      <c r="BK50" s="1185">
        <f t="shared" si="28"/>
        <v>4194304</v>
      </c>
      <c r="BL50" s="1188">
        <f t="shared" si="28"/>
        <v>4194304</v>
      </c>
      <c r="BM50" s="1188">
        <f t="shared" si="28"/>
        <v>4194304</v>
      </c>
      <c r="BN50" s="1188">
        <f t="shared" si="28"/>
        <v>4194304</v>
      </c>
      <c r="BO50" s="1179">
        <f t="shared" si="28"/>
        <v>4194304</v>
      </c>
      <c r="BP50" s="42">
        <f>SUM(D50:BO50)</f>
        <v>83886080</v>
      </c>
      <c r="BQ50" s="690">
        <f>BQ22</f>
        <v>167772.16</v>
      </c>
      <c r="BR50" s="690">
        <f>BP50*BQ50</f>
        <v>14073748835532.801</v>
      </c>
      <c r="BS50" s="80">
        <f>BS48/2</f>
        <v>2.384185791015625E-7</v>
      </c>
      <c r="BT50" s="690">
        <f>BP50*BQ50*BS50</f>
        <v>3355443.2000000002</v>
      </c>
      <c r="BU50" s="1">
        <f>BP50*BS50</f>
        <v>20</v>
      </c>
      <c r="BX50" s="76"/>
      <c r="BY50" s="693">
        <f t="shared" si="6"/>
        <v>2060</v>
      </c>
      <c r="BZ50" s="690">
        <f t="shared" si="7"/>
        <v>277354512691659.59</v>
      </c>
      <c r="CA50" s="19">
        <f t="shared" si="4"/>
        <v>0.03</v>
      </c>
      <c r="CB50" s="693">
        <f t="shared" si="8"/>
        <v>8320635380749.7871</v>
      </c>
    </row>
    <row r="51" spans="1:80" ht="13.95" customHeight="1" x14ac:dyDescent="0.3">
      <c r="A51" s="938"/>
      <c r="B51" s="1177"/>
      <c r="C51" s="1178"/>
      <c r="D51" s="947"/>
      <c r="E51" s="947"/>
      <c r="F51" s="947"/>
      <c r="G51" s="947"/>
      <c r="H51" s="947"/>
      <c r="I51" s="947"/>
      <c r="J51" s="947"/>
      <c r="K51" s="1179"/>
      <c r="L51" s="947"/>
      <c r="M51" s="947"/>
      <c r="N51" s="947"/>
      <c r="O51" s="947"/>
      <c r="P51" s="947"/>
      <c r="Q51" s="947"/>
      <c r="R51" s="947"/>
      <c r="S51" s="1179"/>
      <c r="T51" s="947"/>
      <c r="U51" s="947"/>
      <c r="V51" s="947"/>
      <c r="W51" s="947"/>
      <c r="X51" s="947"/>
      <c r="Y51" s="947"/>
      <c r="Z51" s="947"/>
      <c r="AA51" s="1179"/>
      <c r="AB51" s="947"/>
      <c r="AC51" s="947"/>
      <c r="AD51" s="947"/>
      <c r="AE51" s="947"/>
      <c r="AF51" s="947"/>
      <c r="AG51" s="947"/>
      <c r="AH51" s="947"/>
      <c r="AI51" s="1187"/>
      <c r="AJ51" s="1188"/>
      <c r="AK51" s="947"/>
      <c r="AL51" s="947"/>
      <c r="AM51" s="947"/>
      <c r="AN51" s="947"/>
      <c r="AO51" s="947"/>
      <c r="AP51" s="947"/>
      <c r="AQ51" s="1179"/>
      <c r="AR51" s="947"/>
      <c r="AS51" s="947"/>
      <c r="AT51" s="947"/>
      <c r="AU51" s="947"/>
      <c r="AV51" s="947" t="s">
        <v>645</v>
      </c>
      <c r="AW51" s="947" t="s">
        <v>646</v>
      </c>
      <c r="AX51" s="1188" t="s">
        <v>647</v>
      </c>
      <c r="AY51" s="1179" t="s">
        <v>647</v>
      </c>
      <c r="AZ51" s="1188" t="s">
        <v>647</v>
      </c>
      <c r="BA51" s="1188" t="s">
        <v>647</v>
      </c>
      <c r="BB51" s="1188" t="s">
        <v>647</v>
      </c>
      <c r="BC51" s="1188" t="s">
        <v>647</v>
      </c>
      <c r="BD51" s="1188" t="s">
        <v>647</v>
      </c>
      <c r="BE51" s="1188" t="s">
        <v>647</v>
      </c>
      <c r="BF51" s="1188" t="s">
        <v>647</v>
      </c>
      <c r="BG51" s="1179" t="s">
        <v>647</v>
      </c>
      <c r="BH51" s="1188" t="s">
        <v>647</v>
      </c>
      <c r="BI51" s="1188" t="s">
        <v>647</v>
      </c>
      <c r="BJ51" s="1185" t="s">
        <v>647</v>
      </c>
      <c r="BK51" s="1185" t="s">
        <v>647</v>
      </c>
      <c r="BL51" s="1188" t="s">
        <v>647</v>
      </c>
      <c r="BM51" s="1188" t="s">
        <v>647</v>
      </c>
      <c r="BN51" s="1188" t="s">
        <v>647</v>
      </c>
      <c r="BO51" s="1179" t="s">
        <v>647</v>
      </c>
      <c r="BQ51" s="690"/>
      <c r="BR51" s="690"/>
      <c r="BS51" s="80"/>
      <c r="BT51" s="690"/>
      <c r="BX51" s="76"/>
      <c r="BY51" s="693">
        <f t="shared" si="6"/>
        <v>2061</v>
      </c>
      <c r="BZ51" s="690">
        <f t="shared" si="7"/>
        <v>285675148072409.38</v>
      </c>
      <c r="CA51" s="19">
        <f t="shared" si="4"/>
        <v>0.03</v>
      </c>
      <c r="CB51" s="693">
        <f t="shared" si="8"/>
        <v>8570254442172.2813</v>
      </c>
    </row>
    <row r="52" spans="1:80" ht="13.95" customHeight="1" x14ac:dyDescent="0.3">
      <c r="A52" s="938"/>
      <c r="B52" s="1177"/>
      <c r="C52" s="1178"/>
      <c r="D52" s="947"/>
      <c r="E52" s="947"/>
      <c r="F52" s="947"/>
      <c r="G52" s="947"/>
      <c r="H52" s="947"/>
      <c r="I52" s="947"/>
      <c r="J52" s="947"/>
      <c r="K52" s="1179"/>
      <c r="L52" s="947"/>
      <c r="M52" s="947"/>
      <c r="N52" s="947"/>
      <c r="O52" s="947"/>
      <c r="P52" s="947"/>
      <c r="Q52" s="947"/>
      <c r="R52" s="947"/>
      <c r="S52" s="1179"/>
      <c r="T52" s="947"/>
      <c r="U52" s="947"/>
      <c r="V52" s="947"/>
      <c r="W52" s="947"/>
      <c r="X52" s="947"/>
      <c r="Y52" s="947"/>
      <c r="Z52" s="947"/>
      <c r="AA52" s="1179"/>
      <c r="AB52" s="947"/>
      <c r="AC52" s="947"/>
      <c r="AD52" s="947"/>
      <c r="AE52" s="947"/>
      <c r="AF52" s="947"/>
      <c r="AG52" s="947"/>
      <c r="AH52" s="947"/>
      <c r="AI52" s="1187"/>
      <c r="AJ52" s="1188"/>
      <c r="AK52" s="947"/>
      <c r="AL52" s="947"/>
      <c r="AM52" s="947"/>
      <c r="AN52" s="947"/>
      <c r="AO52" s="947"/>
      <c r="AP52" s="947"/>
      <c r="AQ52" s="1179"/>
      <c r="AR52" s="947"/>
      <c r="AS52" s="947"/>
      <c r="AT52" s="947"/>
      <c r="AU52" s="947"/>
      <c r="AV52" s="947">
        <v>0</v>
      </c>
      <c r="AW52" s="947">
        <v>0</v>
      </c>
      <c r="AX52" s="1188">
        <f t="shared" ref="AX52:BO52" si="29">AX50*2</f>
        <v>8388608</v>
      </c>
      <c r="AY52" s="1179">
        <f t="shared" si="29"/>
        <v>8388608</v>
      </c>
      <c r="AZ52" s="1188">
        <f t="shared" si="29"/>
        <v>8388608</v>
      </c>
      <c r="BA52" s="1188">
        <f t="shared" si="29"/>
        <v>8388608</v>
      </c>
      <c r="BB52" s="1188">
        <f t="shared" si="29"/>
        <v>8388608</v>
      </c>
      <c r="BC52" s="1188">
        <f t="shared" si="29"/>
        <v>8388608</v>
      </c>
      <c r="BD52" s="1188">
        <f t="shared" si="29"/>
        <v>8388608</v>
      </c>
      <c r="BE52" s="1188">
        <f t="shared" si="29"/>
        <v>8388608</v>
      </c>
      <c r="BF52" s="1188">
        <f t="shared" si="29"/>
        <v>8388608</v>
      </c>
      <c r="BG52" s="1179">
        <f t="shared" si="29"/>
        <v>8388608</v>
      </c>
      <c r="BH52" s="1188">
        <f t="shared" si="29"/>
        <v>8388608</v>
      </c>
      <c r="BI52" s="1188">
        <f t="shared" si="29"/>
        <v>8388608</v>
      </c>
      <c r="BJ52" s="1185">
        <f t="shared" si="29"/>
        <v>8388608</v>
      </c>
      <c r="BK52" s="1185">
        <f t="shared" si="29"/>
        <v>8388608</v>
      </c>
      <c r="BL52" s="1188">
        <f t="shared" si="29"/>
        <v>8388608</v>
      </c>
      <c r="BM52" s="1188">
        <f t="shared" si="29"/>
        <v>8388608</v>
      </c>
      <c r="BN52" s="1188">
        <f t="shared" si="29"/>
        <v>8388608</v>
      </c>
      <c r="BO52" s="1179">
        <f t="shared" si="29"/>
        <v>8388608</v>
      </c>
      <c r="BP52" s="42">
        <f>SUM(D52:BO52)</f>
        <v>150994944</v>
      </c>
      <c r="BQ52" s="690">
        <f>BQ24</f>
        <v>167772.16</v>
      </c>
      <c r="BR52" s="690">
        <f>BP52*BQ52</f>
        <v>25332747903959.039</v>
      </c>
      <c r="BS52" s="80">
        <f>BS50/2</f>
        <v>1.1920928955078125E-7</v>
      </c>
      <c r="BT52" s="690">
        <f>BP52*BQ52*BS52</f>
        <v>3019898.8799999999</v>
      </c>
      <c r="BU52" s="1">
        <f>BP52*BS52</f>
        <v>18</v>
      </c>
      <c r="BX52" s="76"/>
      <c r="BY52" s="693">
        <f t="shared" si="6"/>
        <v>2062</v>
      </c>
      <c r="BZ52" s="690">
        <f t="shared" si="7"/>
        <v>294245402514581.63</v>
      </c>
      <c r="CA52" s="19">
        <f t="shared" si="4"/>
        <v>0.03</v>
      </c>
      <c r="CB52" s="693">
        <f t="shared" si="8"/>
        <v>8827362075437.4492</v>
      </c>
    </row>
    <row r="53" spans="1:80" ht="13.95" customHeight="1" x14ac:dyDescent="0.3">
      <c r="A53" s="938"/>
      <c r="B53" s="1177"/>
      <c r="C53" s="1178"/>
      <c r="D53" s="947"/>
      <c r="E53" s="947"/>
      <c r="F53" s="947"/>
      <c r="G53" s="947"/>
      <c r="H53" s="947"/>
      <c r="I53" s="947"/>
      <c r="J53" s="947"/>
      <c r="K53" s="1179"/>
      <c r="L53" s="947"/>
      <c r="M53" s="947"/>
      <c r="N53" s="947"/>
      <c r="O53" s="947"/>
      <c r="P53" s="947"/>
      <c r="Q53" s="947"/>
      <c r="R53" s="947"/>
      <c r="S53" s="1179"/>
      <c r="T53" s="947"/>
      <c r="U53" s="947"/>
      <c r="V53" s="947"/>
      <c r="W53" s="947"/>
      <c r="X53" s="947"/>
      <c r="Y53" s="947"/>
      <c r="Z53" s="947"/>
      <c r="AA53" s="1179"/>
      <c r="AB53" s="947"/>
      <c r="AC53" s="947"/>
      <c r="AD53" s="947"/>
      <c r="AE53" s="947"/>
      <c r="AF53" s="947"/>
      <c r="AG53" s="947"/>
      <c r="AH53" s="947"/>
      <c r="AI53" s="1187"/>
      <c r="AJ53" s="1188"/>
      <c r="AK53" s="947"/>
      <c r="AL53" s="947"/>
      <c r="AM53" s="947"/>
      <c r="AN53" s="947"/>
      <c r="AO53" s="947"/>
      <c r="AP53" s="947"/>
      <c r="AQ53" s="1179"/>
      <c r="AR53" s="947"/>
      <c r="AS53" s="947"/>
      <c r="AT53" s="947"/>
      <c r="AU53" s="947"/>
      <c r="AV53" s="947"/>
      <c r="AW53" s="947"/>
      <c r="AX53" s="947" t="s">
        <v>645</v>
      </c>
      <c r="AY53" s="1179" t="s">
        <v>646</v>
      </c>
      <c r="AZ53" s="1188" t="s">
        <v>647</v>
      </c>
      <c r="BA53" s="1188" t="s">
        <v>647</v>
      </c>
      <c r="BB53" s="1188" t="s">
        <v>647</v>
      </c>
      <c r="BC53" s="1188" t="s">
        <v>647</v>
      </c>
      <c r="BD53" s="1188" t="s">
        <v>647</v>
      </c>
      <c r="BE53" s="1188" t="s">
        <v>647</v>
      </c>
      <c r="BF53" s="1188" t="s">
        <v>647</v>
      </c>
      <c r="BG53" s="1179" t="s">
        <v>647</v>
      </c>
      <c r="BH53" s="1188" t="s">
        <v>647</v>
      </c>
      <c r="BI53" s="1188" t="s">
        <v>647</v>
      </c>
      <c r="BJ53" s="1185" t="s">
        <v>647</v>
      </c>
      <c r="BK53" s="1185" t="s">
        <v>647</v>
      </c>
      <c r="BL53" s="1188" t="s">
        <v>647</v>
      </c>
      <c r="BM53" s="1188" t="s">
        <v>647</v>
      </c>
      <c r="BN53" s="1188" t="s">
        <v>647</v>
      </c>
      <c r="BO53" s="1179" t="s">
        <v>647</v>
      </c>
      <c r="BQ53" s="690"/>
      <c r="BR53" s="690"/>
      <c r="BS53" s="80"/>
      <c r="BT53" s="690"/>
      <c r="BX53" s="76"/>
      <c r="BY53" s="693">
        <f t="shared" si="6"/>
        <v>2063</v>
      </c>
      <c r="BZ53" s="690">
        <f t="shared" si="7"/>
        <v>303072764590019.06</v>
      </c>
      <c r="CA53" s="19">
        <f t="shared" si="4"/>
        <v>0.03</v>
      </c>
      <c r="CB53" s="693">
        <f t="shared" si="8"/>
        <v>9092182937700.5723</v>
      </c>
    </row>
    <row r="54" spans="1:80" ht="13.95" customHeight="1" x14ac:dyDescent="0.3">
      <c r="A54" s="938"/>
      <c r="B54" s="1177"/>
      <c r="C54" s="1178"/>
      <c r="D54" s="947"/>
      <c r="E54" s="947"/>
      <c r="F54" s="947"/>
      <c r="G54" s="947"/>
      <c r="H54" s="947"/>
      <c r="I54" s="947"/>
      <c r="J54" s="947"/>
      <c r="K54" s="1179"/>
      <c r="L54" s="947"/>
      <c r="M54" s="947"/>
      <c r="N54" s="947"/>
      <c r="O54" s="947"/>
      <c r="P54" s="947"/>
      <c r="Q54" s="947"/>
      <c r="R54" s="947"/>
      <c r="S54" s="1179"/>
      <c r="T54" s="947"/>
      <c r="U54" s="947"/>
      <c r="V54" s="947"/>
      <c r="W54" s="947"/>
      <c r="X54" s="947"/>
      <c r="Y54" s="947"/>
      <c r="Z54" s="947"/>
      <c r="AA54" s="1179"/>
      <c r="AB54" s="947"/>
      <c r="AC54" s="947"/>
      <c r="AD54" s="947"/>
      <c r="AE54" s="947"/>
      <c r="AF54" s="947"/>
      <c r="AG54" s="947"/>
      <c r="AH54" s="947"/>
      <c r="AI54" s="1187"/>
      <c r="AJ54" s="1188"/>
      <c r="AK54" s="947"/>
      <c r="AL54" s="947"/>
      <c r="AM54" s="947"/>
      <c r="AN54" s="947"/>
      <c r="AO54" s="947"/>
      <c r="AP54" s="947"/>
      <c r="AQ54" s="1179"/>
      <c r="AR54" s="947"/>
      <c r="AS54" s="947"/>
      <c r="AT54" s="947"/>
      <c r="AU54" s="947"/>
      <c r="AV54" s="947"/>
      <c r="AW54" s="947"/>
      <c r="AX54" s="947">
        <v>0</v>
      </c>
      <c r="AY54" s="1179">
        <v>0</v>
      </c>
      <c r="AZ54" s="1188">
        <f t="shared" ref="AZ54:BO54" si="30">AZ52*2</f>
        <v>16777216</v>
      </c>
      <c r="BA54" s="1188">
        <f t="shared" si="30"/>
        <v>16777216</v>
      </c>
      <c r="BB54" s="1188">
        <f t="shared" si="30"/>
        <v>16777216</v>
      </c>
      <c r="BC54" s="1188">
        <f t="shared" si="30"/>
        <v>16777216</v>
      </c>
      <c r="BD54" s="1188">
        <f t="shared" si="30"/>
        <v>16777216</v>
      </c>
      <c r="BE54" s="1188">
        <f t="shared" si="30"/>
        <v>16777216</v>
      </c>
      <c r="BF54" s="1188">
        <f t="shared" si="30"/>
        <v>16777216</v>
      </c>
      <c r="BG54" s="1179">
        <f t="shared" si="30"/>
        <v>16777216</v>
      </c>
      <c r="BH54" s="1188">
        <f t="shared" si="30"/>
        <v>16777216</v>
      </c>
      <c r="BI54" s="1188">
        <f t="shared" si="30"/>
        <v>16777216</v>
      </c>
      <c r="BJ54" s="1185">
        <f t="shared" si="30"/>
        <v>16777216</v>
      </c>
      <c r="BK54" s="1185">
        <f t="shared" si="30"/>
        <v>16777216</v>
      </c>
      <c r="BL54" s="1188">
        <f t="shared" si="30"/>
        <v>16777216</v>
      </c>
      <c r="BM54" s="1188">
        <f t="shared" si="30"/>
        <v>16777216</v>
      </c>
      <c r="BN54" s="1188">
        <f t="shared" si="30"/>
        <v>16777216</v>
      </c>
      <c r="BO54" s="1179">
        <f t="shared" si="30"/>
        <v>16777216</v>
      </c>
      <c r="BP54" s="42">
        <f>SUM(D54:BO54)</f>
        <v>268435456</v>
      </c>
      <c r="BQ54" s="690">
        <f>BQ26</f>
        <v>167772.16</v>
      </c>
      <c r="BR54" s="690">
        <f>BP54*BQ54</f>
        <v>45035996273704.961</v>
      </c>
      <c r="BS54" s="80">
        <f>BS52/2</f>
        <v>5.9604644775390625E-8</v>
      </c>
      <c r="BT54" s="690">
        <f>BP54*BQ54*BS54</f>
        <v>2684354.5600000001</v>
      </c>
      <c r="BU54" s="1">
        <f>BP54*BS54</f>
        <v>16</v>
      </c>
      <c r="BX54" s="76"/>
      <c r="BY54" s="693">
        <f t="shared" si="6"/>
        <v>2064</v>
      </c>
      <c r="BZ54" s="690">
        <f t="shared" si="7"/>
        <v>312164947527719.63</v>
      </c>
      <c r="CA54" s="19">
        <f t="shared" si="4"/>
        <v>0.03</v>
      </c>
      <c r="CB54" s="693">
        <f t="shared" si="8"/>
        <v>9364948425831.5879</v>
      </c>
    </row>
    <row r="55" spans="1:80" ht="13.95" customHeight="1" x14ac:dyDescent="0.3">
      <c r="A55" s="938"/>
      <c r="B55" s="1177"/>
      <c r="C55" s="1178"/>
      <c r="D55" s="947"/>
      <c r="E55" s="947"/>
      <c r="F55" s="947"/>
      <c r="G55" s="947"/>
      <c r="H55" s="947"/>
      <c r="I55" s="947"/>
      <c r="J55" s="947"/>
      <c r="K55" s="1179"/>
      <c r="L55" s="947"/>
      <c r="M55" s="947"/>
      <c r="N55" s="947"/>
      <c r="O55" s="947"/>
      <c r="P55" s="947"/>
      <c r="Q55" s="947"/>
      <c r="R55" s="947"/>
      <c r="S55" s="1179"/>
      <c r="T55" s="947"/>
      <c r="U55" s="947"/>
      <c r="V55" s="947"/>
      <c r="W55" s="947"/>
      <c r="X55" s="947"/>
      <c r="Y55" s="947"/>
      <c r="Z55" s="947"/>
      <c r="AA55" s="1179"/>
      <c r="AB55" s="947"/>
      <c r="AC55" s="947"/>
      <c r="AD55" s="947"/>
      <c r="AE55" s="947"/>
      <c r="AF55" s="947"/>
      <c r="AG55" s="947"/>
      <c r="AH55" s="947"/>
      <c r="AI55" s="1187"/>
      <c r="AJ55" s="1188"/>
      <c r="AK55" s="947"/>
      <c r="AL55" s="947"/>
      <c r="AM55" s="947"/>
      <c r="AN55" s="947"/>
      <c r="AO55" s="947"/>
      <c r="AP55" s="947"/>
      <c r="AQ55" s="1179"/>
      <c r="AR55" s="947"/>
      <c r="AS55" s="947"/>
      <c r="AT55" s="947"/>
      <c r="AU55" s="947"/>
      <c r="AV55" s="947"/>
      <c r="AW55" s="947"/>
      <c r="AX55" s="947"/>
      <c r="AY55" s="1179"/>
      <c r="AZ55" s="947" t="s">
        <v>645</v>
      </c>
      <c r="BA55" s="947" t="s">
        <v>646</v>
      </c>
      <c r="BB55" s="1188" t="s">
        <v>647</v>
      </c>
      <c r="BC55" s="1188" t="s">
        <v>647</v>
      </c>
      <c r="BD55" s="1188" t="s">
        <v>647</v>
      </c>
      <c r="BE55" s="1188" t="s">
        <v>647</v>
      </c>
      <c r="BF55" s="1188" t="s">
        <v>647</v>
      </c>
      <c r="BG55" s="1179" t="s">
        <v>647</v>
      </c>
      <c r="BH55" s="1188" t="s">
        <v>647</v>
      </c>
      <c r="BI55" s="1188" t="s">
        <v>647</v>
      </c>
      <c r="BJ55" s="1185" t="s">
        <v>647</v>
      </c>
      <c r="BK55" s="1185" t="s">
        <v>647</v>
      </c>
      <c r="BL55" s="1188" t="s">
        <v>647</v>
      </c>
      <c r="BM55" s="1188" t="s">
        <v>647</v>
      </c>
      <c r="BN55" s="1188" t="s">
        <v>647</v>
      </c>
      <c r="BO55" s="1179" t="s">
        <v>647</v>
      </c>
      <c r="BQ55" s="690"/>
      <c r="BR55" s="690"/>
      <c r="BS55" s="80"/>
      <c r="BT55" s="690"/>
      <c r="BX55" s="76"/>
      <c r="BY55" s="693">
        <f t="shared" si="6"/>
        <v>2065</v>
      </c>
      <c r="BZ55" s="690">
        <f t="shared" si="7"/>
        <v>321529895953551.19</v>
      </c>
      <c r="CA55" s="19">
        <f t="shared" si="4"/>
        <v>0.03</v>
      </c>
      <c r="CB55" s="693">
        <f t="shared" si="8"/>
        <v>9645896878606.5352</v>
      </c>
    </row>
    <row r="56" spans="1:80" ht="13.95" customHeight="1" x14ac:dyDescent="0.3">
      <c r="A56" s="938"/>
      <c r="B56" s="1177"/>
      <c r="C56" s="1178"/>
      <c r="D56" s="947"/>
      <c r="E56" s="947"/>
      <c r="F56" s="947"/>
      <c r="G56" s="947"/>
      <c r="H56" s="947"/>
      <c r="I56" s="947"/>
      <c r="J56" s="947"/>
      <c r="K56" s="1179"/>
      <c r="L56" s="947"/>
      <c r="M56" s="947"/>
      <c r="N56" s="947"/>
      <c r="O56" s="947"/>
      <c r="P56" s="947"/>
      <c r="Q56" s="947"/>
      <c r="R56" s="947"/>
      <c r="S56" s="1179"/>
      <c r="T56" s="947"/>
      <c r="U56" s="947"/>
      <c r="V56" s="947"/>
      <c r="W56" s="947"/>
      <c r="X56" s="947"/>
      <c r="Y56" s="947"/>
      <c r="Z56" s="947"/>
      <c r="AA56" s="1179"/>
      <c r="AB56" s="947"/>
      <c r="AC56" s="947"/>
      <c r="AD56" s="947"/>
      <c r="AE56" s="947"/>
      <c r="AF56" s="947"/>
      <c r="AG56" s="947"/>
      <c r="AH56" s="947"/>
      <c r="AI56" s="1187"/>
      <c r="AJ56" s="1188"/>
      <c r="AK56" s="947"/>
      <c r="AL56" s="947"/>
      <c r="AM56" s="947"/>
      <c r="AN56" s="947"/>
      <c r="AO56" s="947"/>
      <c r="AP56" s="947"/>
      <c r="AQ56" s="1179"/>
      <c r="AR56" s="947"/>
      <c r="AS56" s="947"/>
      <c r="AT56" s="947"/>
      <c r="AU56" s="947"/>
      <c r="AV56" s="947"/>
      <c r="AW56" s="947"/>
      <c r="AX56" s="947"/>
      <c r="AY56" s="1179"/>
      <c r="AZ56" s="947">
        <v>0</v>
      </c>
      <c r="BA56" s="947">
        <v>0</v>
      </c>
      <c r="BB56" s="1188">
        <f t="shared" ref="BB56:BO56" si="31">BB54*2</f>
        <v>33554432</v>
      </c>
      <c r="BC56" s="1188">
        <f t="shared" si="31"/>
        <v>33554432</v>
      </c>
      <c r="BD56" s="1188">
        <f t="shared" si="31"/>
        <v>33554432</v>
      </c>
      <c r="BE56" s="1188">
        <f t="shared" si="31"/>
        <v>33554432</v>
      </c>
      <c r="BF56" s="1188">
        <f t="shared" si="31"/>
        <v>33554432</v>
      </c>
      <c r="BG56" s="1179">
        <f t="shared" si="31"/>
        <v>33554432</v>
      </c>
      <c r="BH56" s="1188">
        <f t="shared" si="31"/>
        <v>33554432</v>
      </c>
      <c r="BI56" s="1188">
        <f t="shared" si="31"/>
        <v>33554432</v>
      </c>
      <c r="BJ56" s="1185">
        <f t="shared" si="31"/>
        <v>33554432</v>
      </c>
      <c r="BK56" s="1185">
        <f t="shared" si="31"/>
        <v>33554432</v>
      </c>
      <c r="BL56" s="1188">
        <f t="shared" si="31"/>
        <v>33554432</v>
      </c>
      <c r="BM56" s="1188">
        <f t="shared" si="31"/>
        <v>33554432</v>
      </c>
      <c r="BN56" s="1188">
        <f t="shared" si="31"/>
        <v>33554432</v>
      </c>
      <c r="BO56" s="1179">
        <f t="shared" si="31"/>
        <v>33554432</v>
      </c>
      <c r="BP56" s="42">
        <f>SUM(D56:BO56)</f>
        <v>469762048</v>
      </c>
      <c r="BQ56" s="690">
        <f>BQ28</f>
        <v>167772.16</v>
      </c>
      <c r="BR56" s="690">
        <f>BP56*BQ56</f>
        <v>78812993478983.688</v>
      </c>
      <c r="BS56" s="80">
        <f>BS54/2</f>
        <v>2.9802322387695313E-8</v>
      </c>
      <c r="BT56" s="690">
        <f>BP56*BQ56*BS56</f>
        <v>2348810.2400000002</v>
      </c>
      <c r="BU56" s="1">
        <f>BP56*BS56</f>
        <v>14</v>
      </c>
      <c r="BX56" s="76"/>
      <c r="BY56" s="693">
        <f t="shared" si="6"/>
        <v>2066</v>
      </c>
      <c r="BZ56" s="690">
        <f t="shared" si="7"/>
        <v>331175792832157.75</v>
      </c>
      <c r="CA56" s="19">
        <f t="shared" si="4"/>
        <v>0.03</v>
      </c>
      <c r="CB56" s="693">
        <f t="shared" si="8"/>
        <v>9935273784964.7324</v>
      </c>
    </row>
    <row r="57" spans="1:80" ht="13.95" customHeight="1" x14ac:dyDescent="0.3">
      <c r="A57" s="938"/>
      <c r="B57" s="1177"/>
      <c r="C57" s="1178"/>
      <c r="D57" s="947"/>
      <c r="E57" s="947"/>
      <c r="F57" s="947"/>
      <c r="G57" s="947"/>
      <c r="H57" s="947"/>
      <c r="I57" s="947"/>
      <c r="J57" s="947"/>
      <c r="K57" s="1179"/>
      <c r="L57" s="947"/>
      <c r="M57" s="947"/>
      <c r="N57" s="947"/>
      <c r="O57" s="947"/>
      <c r="P57" s="947"/>
      <c r="Q57" s="947"/>
      <c r="R57" s="947"/>
      <c r="S57" s="1179"/>
      <c r="T57" s="947"/>
      <c r="U57" s="947"/>
      <c r="V57" s="947"/>
      <c r="W57" s="947"/>
      <c r="X57" s="947"/>
      <c r="Y57" s="947"/>
      <c r="Z57" s="947"/>
      <c r="AA57" s="1179"/>
      <c r="AB57" s="947"/>
      <c r="AC57" s="947"/>
      <c r="AD57" s="947"/>
      <c r="AE57" s="947"/>
      <c r="AF57" s="947"/>
      <c r="AG57" s="947"/>
      <c r="AH57" s="947"/>
      <c r="AI57" s="1187"/>
      <c r="AJ57" s="1188"/>
      <c r="AK57" s="947"/>
      <c r="AL57" s="947"/>
      <c r="AM57" s="947"/>
      <c r="AN57" s="947"/>
      <c r="AO57" s="947"/>
      <c r="AP57" s="947"/>
      <c r="AQ57" s="1179"/>
      <c r="AR57" s="947"/>
      <c r="AS57" s="947"/>
      <c r="AT57" s="947"/>
      <c r="AU57" s="947"/>
      <c r="AV57" s="947"/>
      <c r="AW57" s="947"/>
      <c r="AX57" s="947"/>
      <c r="AY57" s="1179"/>
      <c r="AZ57" s="947"/>
      <c r="BA57" s="947"/>
      <c r="BB57" s="947" t="s">
        <v>645</v>
      </c>
      <c r="BC57" s="947" t="s">
        <v>646</v>
      </c>
      <c r="BD57" s="1188" t="s">
        <v>647</v>
      </c>
      <c r="BE57" s="1188" t="s">
        <v>647</v>
      </c>
      <c r="BF57" s="1188" t="s">
        <v>647</v>
      </c>
      <c r="BG57" s="1179" t="s">
        <v>647</v>
      </c>
      <c r="BH57" s="1188" t="s">
        <v>647</v>
      </c>
      <c r="BI57" s="1188" t="s">
        <v>647</v>
      </c>
      <c r="BJ57" s="1185" t="s">
        <v>647</v>
      </c>
      <c r="BK57" s="1185" t="s">
        <v>647</v>
      </c>
      <c r="BL57" s="1188" t="s">
        <v>647</v>
      </c>
      <c r="BM57" s="1188" t="s">
        <v>647</v>
      </c>
      <c r="BN57" s="1188" t="s">
        <v>647</v>
      </c>
      <c r="BO57" s="1179" t="s">
        <v>647</v>
      </c>
      <c r="BQ57" s="690"/>
      <c r="BR57" s="690"/>
      <c r="BS57" s="80"/>
      <c r="BT57" s="690"/>
      <c r="BX57" s="76"/>
      <c r="BY57" s="693">
        <f t="shared" si="6"/>
        <v>2067</v>
      </c>
      <c r="BZ57" s="690">
        <f t="shared" si="7"/>
        <v>341111066617122.5</v>
      </c>
      <c r="CA57" s="19">
        <f t="shared" si="4"/>
        <v>0.03</v>
      </c>
      <c r="CB57" s="693">
        <f t="shared" si="8"/>
        <v>10233331998513.674</v>
      </c>
    </row>
    <row r="58" spans="1:80" ht="13.95" customHeight="1" x14ac:dyDescent="0.3">
      <c r="A58" s="938"/>
      <c r="B58" s="1177"/>
      <c r="C58" s="1178"/>
      <c r="D58" s="947"/>
      <c r="E58" s="947"/>
      <c r="F58" s="947"/>
      <c r="G58" s="947"/>
      <c r="H58" s="947"/>
      <c r="I58" s="947"/>
      <c r="J58" s="947"/>
      <c r="K58" s="1179"/>
      <c r="L58" s="947"/>
      <c r="M58" s="947"/>
      <c r="N58" s="947"/>
      <c r="O58" s="947"/>
      <c r="P58" s="947"/>
      <c r="Q58" s="947"/>
      <c r="R58" s="947"/>
      <c r="S58" s="1179"/>
      <c r="T58" s="947"/>
      <c r="U58" s="947"/>
      <c r="V58" s="947"/>
      <c r="W58" s="947"/>
      <c r="X58" s="947"/>
      <c r="Y58" s="947"/>
      <c r="Z58" s="947"/>
      <c r="AA58" s="1179"/>
      <c r="AB58" s="947"/>
      <c r="AC58" s="947"/>
      <c r="AD58" s="947"/>
      <c r="AE58" s="947"/>
      <c r="AF58" s="947"/>
      <c r="AG58" s="947"/>
      <c r="AH58" s="947"/>
      <c r="AI58" s="1187"/>
      <c r="AJ58" s="1188"/>
      <c r="AK58" s="947"/>
      <c r="AL58" s="947"/>
      <c r="AM58" s="947"/>
      <c r="AN58" s="947"/>
      <c r="AO58" s="947"/>
      <c r="AP58" s="947"/>
      <c r="AQ58" s="1179"/>
      <c r="AR58" s="947"/>
      <c r="AS58" s="947"/>
      <c r="AT58" s="947"/>
      <c r="AU58" s="947"/>
      <c r="AV58" s="947"/>
      <c r="AW58" s="947"/>
      <c r="AX58" s="947"/>
      <c r="AY58" s="1179"/>
      <c r="AZ58" s="947"/>
      <c r="BA58" s="947"/>
      <c r="BB58" s="947">
        <v>0</v>
      </c>
      <c r="BC58" s="947">
        <v>0</v>
      </c>
      <c r="BD58" s="1188">
        <f t="shared" ref="BD58:BO58" si="32">BD56*2</f>
        <v>67108864</v>
      </c>
      <c r="BE58" s="1188">
        <f t="shared" si="32"/>
        <v>67108864</v>
      </c>
      <c r="BF58" s="1188">
        <f t="shared" si="32"/>
        <v>67108864</v>
      </c>
      <c r="BG58" s="1179">
        <f t="shared" si="32"/>
        <v>67108864</v>
      </c>
      <c r="BH58" s="1188">
        <f t="shared" si="32"/>
        <v>67108864</v>
      </c>
      <c r="BI58" s="1188">
        <f t="shared" si="32"/>
        <v>67108864</v>
      </c>
      <c r="BJ58" s="1185">
        <f t="shared" si="32"/>
        <v>67108864</v>
      </c>
      <c r="BK58" s="1185">
        <f t="shared" si="32"/>
        <v>67108864</v>
      </c>
      <c r="BL58" s="1188">
        <f t="shared" si="32"/>
        <v>67108864</v>
      </c>
      <c r="BM58" s="1188">
        <f t="shared" si="32"/>
        <v>67108864</v>
      </c>
      <c r="BN58" s="1188">
        <f t="shared" si="32"/>
        <v>67108864</v>
      </c>
      <c r="BO58" s="1179">
        <f t="shared" si="32"/>
        <v>67108864</v>
      </c>
      <c r="BP58" s="42">
        <f>SUM(D58:BO58)</f>
        <v>805306368</v>
      </c>
      <c r="BQ58" s="690">
        <f>BQ30</f>
        <v>167772.16</v>
      </c>
      <c r="BR58" s="690">
        <f>BP58*BQ58</f>
        <v>135107988821114.88</v>
      </c>
      <c r="BS58" s="80">
        <f>BS56/2</f>
        <v>1.4901161193847656E-8</v>
      </c>
      <c r="BT58" s="690">
        <f>BP58*BQ58*BS58</f>
        <v>2013265.9199999999</v>
      </c>
      <c r="BU58" s="1">
        <f>BP58*BS58</f>
        <v>12</v>
      </c>
      <c r="BX58" s="76"/>
      <c r="BY58" s="693">
        <f t="shared" si="6"/>
        <v>2068</v>
      </c>
      <c r="BZ58" s="690">
        <f t="shared" si="7"/>
        <v>351344398615636.19</v>
      </c>
      <c r="CA58" s="19">
        <f t="shared" si="4"/>
        <v>0.03</v>
      </c>
      <c r="CB58" s="693">
        <f t="shared" si="8"/>
        <v>10540331958469.086</v>
      </c>
    </row>
    <row r="59" spans="1:80" ht="13.95" customHeight="1" x14ac:dyDescent="0.3">
      <c r="A59" s="938"/>
      <c r="B59" s="1177"/>
      <c r="C59" s="1178"/>
      <c r="D59" s="947"/>
      <c r="E59" s="947"/>
      <c r="F59" s="947"/>
      <c r="G59" s="947"/>
      <c r="H59" s="947"/>
      <c r="I59" s="947"/>
      <c r="J59" s="947"/>
      <c r="K59" s="1179"/>
      <c r="L59" s="947"/>
      <c r="M59" s="947"/>
      <c r="N59" s="947"/>
      <c r="O59" s="947"/>
      <c r="P59" s="947"/>
      <c r="Q59" s="947"/>
      <c r="R59" s="947"/>
      <c r="S59" s="1179"/>
      <c r="T59" s="947"/>
      <c r="U59" s="947"/>
      <c r="V59" s="947"/>
      <c r="W59" s="947"/>
      <c r="X59" s="947"/>
      <c r="Y59" s="947"/>
      <c r="Z59" s="947"/>
      <c r="AA59" s="1179"/>
      <c r="AB59" s="947"/>
      <c r="AC59" s="947"/>
      <c r="AD59" s="947"/>
      <c r="AE59" s="947"/>
      <c r="AF59" s="947"/>
      <c r="AG59" s="947"/>
      <c r="AH59" s="947"/>
      <c r="AI59" s="1187"/>
      <c r="AJ59" s="1188"/>
      <c r="AK59" s="947"/>
      <c r="AL59" s="947"/>
      <c r="AM59" s="947"/>
      <c r="AN59" s="947"/>
      <c r="AO59" s="947"/>
      <c r="AP59" s="947"/>
      <c r="AQ59" s="1179"/>
      <c r="AR59" s="947"/>
      <c r="AS59" s="947"/>
      <c r="AT59" s="947"/>
      <c r="AU59" s="947"/>
      <c r="AV59" s="947"/>
      <c r="AW59" s="947"/>
      <c r="AX59" s="947"/>
      <c r="AY59" s="1179"/>
      <c r="AZ59" s="947"/>
      <c r="BA59" s="947"/>
      <c r="BB59" s="947"/>
      <c r="BC59" s="947"/>
      <c r="BD59" s="947" t="s">
        <v>645</v>
      </c>
      <c r="BE59" s="947" t="s">
        <v>646</v>
      </c>
      <c r="BF59" s="1188" t="s">
        <v>647</v>
      </c>
      <c r="BG59" s="1179" t="s">
        <v>647</v>
      </c>
      <c r="BH59" s="1188" t="s">
        <v>647</v>
      </c>
      <c r="BI59" s="1188" t="s">
        <v>647</v>
      </c>
      <c r="BJ59" s="1185" t="s">
        <v>647</v>
      </c>
      <c r="BK59" s="1185" t="s">
        <v>647</v>
      </c>
      <c r="BL59" s="1188" t="s">
        <v>647</v>
      </c>
      <c r="BM59" s="1188" t="s">
        <v>647</v>
      </c>
      <c r="BN59" s="1188" t="s">
        <v>647</v>
      </c>
      <c r="BO59" s="1179" t="s">
        <v>647</v>
      </c>
      <c r="BQ59" s="690"/>
      <c r="BR59" s="690"/>
      <c r="BS59" s="80"/>
      <c r="BT59" s="690"/>
      <c r="BX59" s="76"/>
      <c r="BY59" s="693">
        <f t="shared" si="6"/>
        <v>2069</v>
      </c>
      <c r="BZ59" s="690">
        <f t="shared" si="7"/>
        <v>361884730574105.25</v>
      </c>
      <c r="CA59" s="19">
        <f t="shared" si="4"/>
        <v>0.03</v>
      </c>
      <c r="CB59" s="693">
        <f t="shared" si="8"/>
        <v>10856541917223.156</v>
      </c>
    </row>
    <row r="60" spans="1:80" ht="13.95" customHeight="1" x14ac:dyDescent="0.3">
      <c r="A60" s="938"/>
      <c r="B60" s="1177"/>
      <c r="C60" s="1178"/>
      <c r="D60" s="947"/>
      <c r="E60" s="947"/>
      <c r="F60" s="947"/>
      <c r="G60" s="947"/>
      <c r="H60" s="947"/>
      <c r="I60" s="947"/>
      <c r="J60" s="947"/>
      <c r="K60" s="1179"/>
      <c r="L60" s="947"/>
      <c r="M60" s="947"/>
      <c r="N60" s="947"/>
      <c r="O60" s="947"/>
      <c r="P60" s="947"/>
      <c r="Q60" s="947"/>
      <c r="R60" s="947"/>
      <c r="S60" s="1179"/>
      <c r="T60" s="947"/>
      <c r="U60" s="947"/>
      <c r="V60" s="947"/>
      <c r="W60" s="947"/>
      <c r="X60" s="947"/>
      <c r="Y60" s="947"/>
      <c r="Z60" s="947"/>
      <c r="AA60" s="1179"/>
      <c r="AB60" s="947"/>
      <c r="AC60" s="947"/>
      <c r="AD60" s="947"/>
      <c r="AE60" s="947"/>
      <c r="AF60" s="947"/>
      <c r="AG60" s="947"/>
      <c r="AH60" s="947"/>
      <c r="AI60" s="1187"/>
      <c r="AJ60" s="1188"/>
      <c r="AK60" s="947"/>
      <c r="AL60" s="947"/>
      <c r="AM60" s="947"/>
      <c r="AN60" s="947"/>
      <c r="AO60" s="947"/>
      <c r="AP60" s="947"/>
      <c r="AQ60" s="1179"/>
      <c r="AR60" s="947"/>
      <c r="AS60" s="947"/>
      <c r="AT60" s="947"/>
      <c r="AU60" s="947"/>
      <c r="AV60" s="947"/>
      <c r="AW60" s="947"/>
      <c r="AX60" s="947"/>
      <c r="AY60" s="1179"/>
      <c r="AZ60" s="947"/>
      <c r="BA60" s="947"/>
      <c r="BB60" s="947"/>
      <c r="BC60" s="947"/>
      <c r="BD60" s="947">
        <v>0</v>
      </c>
      <c r="BE60" s="947">
        <v>0</v>
      </c>
      <c r="BF60" s="1188">
        <f t="shared" ref="BF60:BO60" si="33">BF58*2</f>
        <v>134217728</v>
      </c>
      <c r="BG60" s="1179">
        <f t="shared" si="33"/>
        <v>134217728</v>
      </c>
      <c r="BH60" s="1188">
        <f t="shared" si="33"/>
        <v>134217728</v>
      </c>
      <c r="BI60" s="1188">
        <f t="shared" si="33"/>
        <v>134217728</v>
      </c>
      <c r="BJ60" s="1185">
        <f t="shared" si="33"/>
        <v>134217728</v>
      </c>
      <c r="BK60" s="1185">
        <f t="shared" si="33"/>
        <v>134217728</v>
      </c>
      <c r="BL60" s="1188">
        <f t="shared" si="33"/>
        <v>134217728</v>
      </c>
      <c r="BM60" s="1188">
        <f t="shared" si="33"/>
        <v>134217728</v>
      </c>
      <c r="BN60" s="1188">
        <f t="shared" si="33"/>
        <v>134217728</v>
      </c>
      <c r="BO60" s="1179">
        <f t="shared" si="33"/>
        <v>134217728</v>
      </c>
      <c r="BP60" s="42">
        <f>SUM(D60:BO60)</f>
        <v>1342177280</v>
      </c>
      <c r="BQ60" s="690">
        <f>BQ32</f>
        <v>167772.16</v>
      </c>
      <c r="BR60" s="690">
        <f>BP60*BQ60</f>
        <v>225179981368524.81</v>
      </c>
      <c r="BS60" s="80">
        <f>BS58/2</f>
        <v>7.4505805969238281E-9</v>
      </c>
      <c r="BT60" s="690">
        <f>BP60*BQ60*BS60</f>
        <v>1677721.6000000001</v>
      </c>
      <c r="BU60" s="1">
        <f>BP60*BS60</f>
        <v>10</v>
      </c>
      <c r="BX60" s="76"/>
      <c r="BY60" s="693">
        <f t="shared" si="6"/>
        <v>2070</v>
      </c>
      <c r="BZ60" s="690">
        <f t="shared" si="7"/>
        <v>372741272491328.38</v>
      </c>
      <c r="CA60" s="19">
        <f t="shared" si="4"/>
        <v>0.03</v>
      </c>
      <c r="CB60" s="693">
        <f t="shared" si="8"/>
        <v>11182238174739.852</v>
      </c>
    </row>
    <row r="61" spans="1:80" ht="13.95" customHeight="1" x14ac:dyDescent="0.3">
      <c r="A61" s="938"/>
      <c r="B61" s="1177"/>
      <c r="C61" s="1178"/>
      <c r="D61" s="947"/>
      <c r="E61" s="947"/>
      <c r="F61" s="947"/>
      <c r="G61" s="947"/>
      <c r="H61" s="947"/>
      <c r="I61" s="947"/>
      <c r="J61" s="947"/>
      <c r="K61" s="1179"/>
      <c r="L61" s="947"/>
      <c r="M61" s="947"/>
      <c r="N61" s="947"/>
      <c r="O61" s="947"/>
      <c r="P61" s="947"/>
      <c r="Q61" s="947"/>
      <c r="R61" s="947"/>
      <c r="S61" s="1179"/>
      <c r="T61" s="947"/>
      <c r="U61" s="947"/>
      <c r="V61" s="947"/>
      <c r="W61" s="947"/>
      <c r="X61" s="947"/>
      <c r="Y61" s="947"/>
      <c r="Z61" s="947"/>
      <c r="AA61" s="1179"/>
      <c r="AB61" s="947"/>
      <c r="AC61" s="947"/>
      <c r="AD61" s="947"/>
      <c r="AE61" s="947"/>
      <c r="AF61" s="947"/>
      <c r="AG61" s="947"/>
      <c r="AH61" s="947"/>
      <c r="AI61" s="1187"/>
      <c r="AJ61" s="1188"/>
      <c r="AK61" s="947"/>
      <c r="AL61" s="947"/>
      <c r="AM61" s="947"/>
      <c r="AN61" s="947"/>
      <c r="AO61" s="947"/>
      <c r="AP61" s="947"/>
      <c r="AQ61" s="1179"/>
      <c r="AR61" s="947"/>
      <c r="AS61" s="947"/>
      <c r="AT61" s="947"/>
      <c r="AU61" s="947"/>
      <c r="AV61" s="947"/>
      <c r="AW61" s="947"/>
      <c r="AX61" s="947"/>
      <c r="AY61" s="1179"/>
      <c r="AZ61" s="947"/>
      <c r="BA61" s="947"/>
      <c r="BB61" s="947"/>
      <c r="BC61" s="947"/>
      <c r="BD61" s="947"/>
      <c r="BE61" s="947"/>
      <c r="BF61" s="947" t="s">
        <v>645</v>
      </c>
      <c r="BG61" s="1179" t="s">
        <v>646</v>
      </c>
      <c r="BH61" s="1188" t="s">
        <v>647</v>
      </c>
      <c r="BI61" s="1188" t="s">
        <v>647</v>
      </c>
      <c r="BJ61" s="1185" t="s">
        <v>647</v>
      </c>
      <c r="BK61" s="1185" t="s">
        <v>647</v>
      </c>
      <c r="BL61" s="1188" t="s">
        <v>647</v>
      </c>
      <c r="BM61" s="1188" t="s">
        <v>647</v>
      </c>
      <c r="BN61" s="1188" t="s">
        <v>647</v>
      </c>
      <c r="BO61" s="1179" t="s">
        <v>647</v>
      </c>
      <c r="BQ61" s="690"/>
      <c r="BR61" s="690"/>
      <c r="BS61" s="80"/>
      <c r="BT61" s="690"/>
      <c r="BX61" s="76"/>
      <c r="BY61" s="693">
        <f t="shared" si="6"/>
        <v>2071</v>
      </c>
      <c r="BZ61" s="690">
        <f t="shared" si="7"/>
        <v>383923510666068.25</v>
      </c>
      <c r="CA61" s="19">
        <f t="shared" si="4"/>
        <v>0.03</v>
      </c>
      <c r="CB61" s="693">
        <f t="shared" si="8"/>
        <v>11517705319982.047</v>
      </c>
    </row>
    <row r="62" spans="1:80" ht="13.95" customHeight="1" x14ac:dyDescent="0.3">
      <c r="A62" s="938"/>
      <c r="B62" s="1177"/>
      <c r="C62" s="1178"/>
      <c r="D62" s="947"/>
      <c r="E62" s="947"/>
      <c r="F62" s="947"/>
      <c r="G62" s="947"/>
      <c r="H62" s="947"/>
      <c r="I62" s="947"/>
      <c r="J62" s="947"/>
      <c r="K62" s="1179"/>
      <c r="L62" s="947"/>
      <c r="M62" s="947"/>
      <c r="N62" s="947"/>
      <c r="O62" s="947"/>
      <c r="P62" s="947"/>
      <c r="Q62" s="947"/>
      <c r="R62" s="947"/>
      <c r="S62" s="1179"/>
      <c r="T62" s="947"/>
      <c r="U62" s="947"/>
      <c r="V62" s="947"/>
      <c r="W62" s="947"/>
      <c r="X62" s="947"/>
      <c r="Y62" s="947"/>
      <c r="Z62" s="947"/>
      <c r="AA62" s="1179"/>
      <c r="AB62" s="947"/>
      <c r="AC62" s="947"/>
      <c r="AD62" s="947"/>
      <c r="AE62" s="947"/>
      <c r="AF62" s="947"/>
      <c r="AG62" s="947"/>
      <c r="AH62" s="947"/>
      <c r="AI62" s="1187"/>
      <c r="AJ62" s="1188"/>
      <c r="AK62" s="947"/>
      <c r="AL62" s="947"/>
      <c r="AM62" s="947"/>
      <c r="AN62" s="947"/>
      <c r="AO62" s="947"/>
      <c r="AP62" s="947"/>
      <c r="AQ62" s="1179"/>
      <c r="AR62" s="947"/>
      <c r="AS62" s="947"/>
      <c r="AT62" s="947"/>
      <c r="AU62" s="947"/>
      <c r="AV62" s="947"/>
      <c r="AW62" s="947"/>
      <c r="AX62" s="947"/>
      <c r="AY62" s="1179"/>
      <c r="AZ62" s="947"/>
      <c r="BA62" s="947"/>
      <c r="BB62" s="947"/>
      <c r="BC62" s="947"/>
      <c r="BD62" s="947"/>
      <c r="BE62" s="947"/>
      <c r="BF62" s="947">
        <v>0</v>
      </c>
      <c r="BG62" s="1179">
        <v>0</v>
      </c>
      <c r="BH62" s="1188">
        <f t="shared" ref="BH62:BO62" si="34">BH60*2</f>
        <v>268435456</v>
      </c>
      <c r="BI62" s="1188">
        <f t="shared" si="34"/>
        <v>268435456</v>
      </c>
      <c r="BJ62" s="1185">
        <f t="shared" si="34"/>
        <v>268435456</v>
      </c>
      <c r="BK62" s="1185">
        <f t="shared" si="34"/>
        <v>268435456</v>
      </c>
      <c r="BL62" s="1188">
        <f t="shared" si="34"/>
        <v>268435456</v>
      </c>
      <c r="BM62" s="1188">
        <f t="shared" si="34"/>
        <v>268435456</v>
      </c>
      <c r="BN62" s="1188">
        <f t="shared" si="34"/>
        <v>268435456</v>
      </c>
      <c r="BO62" s="1179">
        <f t="shared" si="34"/>
        <v>268435456</v>
      </c>
      <c r="BP62" s="42">
        <f>SUM(D62:BO62)</f>
        <v>2147483648</v>
      </c>
      <c r="BQ62" s="690">
        <f>BQ34</f>
        <v>167772.16</v>
      </c>
      <c r="BR62" s="690">
        <f>BP62*BQ62</f>
        <v>360287970189639.69</v>
      </c>
      <c r="BS62" s="80">
        <f>BS60/2</f>
        <v>3.7252902984619141E-9</v>
      </c>
      <c r="BT62" s="690">
        <f>BP62*BQ62*BS62</f>
        <v>1342177.28</v>
      </c>
      <c r="BU62" s="1">
        <f>BP62*BS62</f>
        <v>8</v>
      </c>
      <c r="BX62" s="76"/>
      <c r="BY62" s="693">
        <f t="shared" si="6"/>
        <v>2072</v>
      </c>
      <c r="BZ62" s="690">
        <f t="shared" si="7"/>
        <v>395441215986050.31</v>
      </c>
      <c r="CA62" s="19">
        <f t="shared" si="4"/>
        <v>0.03</v>
      </c>
      <c r="CB62" s="693">
        <f t="shared" si="8"/>
        <v>11863236479581.51</v>
      </c>
    </row>
    <row r="63" spans="1:80" ht="13.95" customHeight="1" x14ac:dyDescent="0.3">
      <c r="A63" s="938"/>
      <c r="B63" s="1177"/>
      <c r="C63" s="1178"/>
      <c r="D63" s="947"/>
      <c r="E63" s="947"/>
      <c r="F63" s="947"/>
      <c r="G63" s="947"/>
      <c r="H63" s="947"/>
      <c r="I63" s="947"/>
      <c r="J63" s="947"/>
      <c r="K63" s="1179"/>
      <c r="L63" s="947"/>
      <c r="M63" s="947"/>
      <c r="N63" s="947"/>
      <c r="O63" s="947"/>
      <c r="P63" s="947"/>
      <c r="Q63" s="947"/>
      <c r="R63" s="947"/>
      <c r="S63" s="1179"/>
      <c r="T63" s="947"/>
      <c r="U63" s="947"/>
      <c r="V63" s="947"/>
      <c r="W63" s="947"/>
      <c r="X63" s="947"/>
      <c r="Y63" s="947"/>
      <c r="Z63" s="947"/>
      <c r="AA63" s="1179"/>
      <c r="AB63" s="947"/>
      <c r="AC63" s="947"/>
      <c r="AD63" s="947"/>
      <c r="AE63" s="947"/>
      <c r="AF63" s="947"/>
      <c r="AG63" s="947"/>
      <c r="AH63" s="947"/>
      <c r="AI63" s="1187"/>
      <c r="AJ63" s="1188"/>
      <c r="AK63" s="947"/>
      <c r="AL63" s="947"/>
      <c r="AM63" s="947"/>
      <c r="AN63" s="947"/>
      <c r="AO63" s="947"/>
      <c r="AP63" s="947"/>
      <c r="AQ63" s="1179"/>
      <c r="AR63" s="947"/>
      <c r="AS63" s="947"/>
      <c r="AT63" s="947"/>
      <c r="AU63" s="947"/>
      <c r="AV63" s="947"/>
      <c r="AW63" s="947"/>
      <c r="AX63" s="947"/>
      <c r="AY63" s="1179"/>
      <c r="AZ63" s="947"/>
      <c r="BA63" s="947"/>
      <c r="BB63" s="947"/>
      <c r="BC63" s="947"/>
      <c r="BD63" s="947"/>
      <c r="BE63" s="947"/>
      <c r="BF63" s="947"/>
      <c r="BG63" s="1179"/>
      <c r="BH63" s="947" t="s">
        <v>645</v>
      </c>
      <c r="BI63" s="947" t="s">
        <v>646</v>
      </c>
      <c r="BJ63" s="1185" t="s">
        <v>647</v>
      </c>
      <c r="BK63" s="1185" t="s">
        <v>647</v>
      </c>
      <c r="BL63" s="1188" t="s">
        <v>647</v>
      </c>
      <c r="BM63" s="1188" t="s">
        <v>647</v>
      </c>
      <c r="BN63" s="1188" t="s">
        <v>647</v>
      </c>
      <c r="BO63" s="1179" t="s">
        <v>647</v>
      </c>
      <c r="BQ63" s="690"/>
      <c r="BR63" s="690"/>
      <c r="BS63" s="80"/>
      <c r="BT63" s="690"/>
      <c r="BX63" s="76"/>
      <c r="BY63" s="693">
        <f t="shared" si="6"/>
        <v>2073</v>
      </c>
      <c r="BZ63" s="690">
        <f t="shared" si="7"/>
        <v>407304452465631.81</v>
      </c>
      <c r="CA63" s="19">
        <f t="shared" si="4"/>
        <v>0.03</v>
      </c>
      <c r="CB63" s="693">
        <f t="shared" si="8"/>
        <v>12219133573968.953</v>
      </c>
    </row>
    <row r="64" spans="1:80" ht="13.95" customHeight="1" x14ac:dyDescent="0.3">
      <c r="A64" s="938"/>
      <c r="B64" s="1177"/>
      <c r="C64" s="1178"/>
      <c r="D64" s="947"/>
      <c r="E64" s="947"/>
      <c r="F64" s="947"/>
      <c r="G64" s="947"/>
      <c r="H64" s="947"/>
      <c r="I64" s="947"/>
      <c r="J64" s="947"/>
      <c r="K64" s="1179"/>
      <c r="L64" s="947"/>
      <c r="M64" s="947"/>
      <c r="N64" s="947"/>
      <c r="O64" s="947"/>
      <c r="P64" s="947"/>
      <c r="Q64" s="947"/>
      <c r="R64" s="947"/>
      <c r="S64" s="1179"/>
      <c r="T64" s="947"/>
      <c r="U64" s="947"/>
      <c r="V64" s="947"/>
      <c r="W64" s="947"/>
      <c r="X64" s="947"/>
      <c r="Y64" s="947"/>
      <c r="Z64" s="947"/>
      <c r="AA64" s="1179"/>
      <c r="AB64" s="947"/>
      <c r="AC64" s="947"/>
      <c r="AD64" s="947"/>
      <c r="AE64" s="947"/>
      <c r="AF64" s="947"/>
      <c r="AG64" s="947"/>
      <c r="AH64" s="947"/>
      <c r="AI64" s="1187"/>
      <c r="AJ64" s="1188"/>
      <c r="AK64" s="947"/>
      <c r="AL64" s="947"/>
      <c r="AM64" s="947"/>
      <c r="AN64" s="947"/>
      <c r="AO64" s="947"/>
      <c r="AP64" s="947"/>
      <c r="AQ64" s="1179"/>
      <c r="AR64" s="947"/>
      <c r="AS64" s="947"/>
      <c r="AT64" s="947"/>
      <c r="AU64" s="947"/>
      <c r="AV64" s="947"/>
      <c r="AW64" s="947"/>
      <c r="AX64" s="947"/>
      <c r="AY64" s="1179"/>
      <c r="AZ64" s="947"/>
      <c r="BA64" s="947"/>
      <c r="BB64" s="947"/>
      <c r="BC64" s="947"/>
      <c r="BD64" s="947"/>
      <c r="BE64" s="947"/>
      <c r="BF64" s="947"/>
      <c r="BG64" s="1179"/>
      <c r="BH64" s="947">
        <v>0</v>
      </c>
      <c r="BI64" s="947">
        <v>0</v>
      </c>
      <c r="BJ64" s="1185">
        <f t="shared" ref="BJ64:BO64" si="35">BJ62*2</f>
        <v>536870912</v>
      </c>
      <c r="BK64" s="1185">
        <f t="shared" si="35"/>
        <v>536870912</v>
      </c>
      <c r="BL64" s="1188">
        <f t="shared" si="35"/>
        <v>536870912</v>
      </c>
      <c r="BM64" s="1188">
        <f t="shared" si="35"/>
        <v>536870912</v>
      </c>
      <c r="BN64" s="1188">
        <f t="shared" si="35"/>
        <v>536870912</v>
      </c>
      <c r="BO64" s="1179">
        <f t="shared" si="35"/>
        <v>536870912</v>
      </c>
      <c r="BP64" s="42">
        <f>SUM(D64:BO64)</f>
        <v>3221225472</v>
      </c>
      <c r="BQ64" s="690">
        <f>BQ36</f>
        <v>167772.16</v>
      </c>
      <c r="BR64" s="690">
        <f>BP64*BQ64</f>
        <v>540431955284459.5</v>
      </c>
      <c r="BS64" s="80">
        <f>BS62/2</f>
        <v>1.862645149230957E-9</v>
      </c>
      <c r="BT64" s="690">
        <f>BP64*BQ64*BS64</f>
        <v>1006632.96</v>
      </c>
      <c r="BU64" s="1">
        <f>BP64*BS64</f>
        <v>6</v>
      </c>
      <c r="BX64" s="76"/>
      <c r="BY64" s="693">
        <f t="shared" si="6"/>
        <v>2074</v>
      </c>
      <c r="BZ64" s="690">
        <f t="shared" si="7"/>
        <v>419523586039600.75</v>
      </c>
      <c r="CA64" s="19">
        <f t="shared" si="4"/>
        <v>0.03</v>
      </c>
      <c r="CB64" s="693">
        <f t="shared" si="8"/>
        <v>12585707581188.021</v>
      </c>
    </row>
    <row r="65" spans="1:80" ht="13.95" customHeight="1" x14ac:dyDescent="0.3">
      <c r="A65" s="938"/>
      <c r="B65" s="1177"/>
      <c r="C65" s="1178"/>
      <c r="D65" s="947"/>
      <c r="E65" s="947"/>
      <c r="F65" s="947"/>
      <c r="G65" s="947"/>
      <c r="H65" s="947"/>
      <c r="I65" s="947"/>
      <c r="J65" s="947"/>
      <c r="K65" s="1179"/>
      <c r="L65" s="947"/>
      <c r="M65" s="947"/>
      <c r="N65" s="947"/>
      <c r="O65" s="947"/>
      <c r="P65" s="947"/>
      <c r="Q65" s="947"/>
      <c r="R65" s="947"/>
      <c r="S65" s="1179"/>
      <c r="T65" s="947"/>
      <c r="U65" s="947"/>
      <c r="V65" s="947"/>
      <c r="W65" s="947"/>
      <c r="X65" s="947"/>
      <c r="Y65" s="947"/>
      <c r="Z65" s="947"/>
      <c r="AA65" s="1179"/>
      <c r="AB65" s="947"/>
      <c r="AC65" s="947"/>
      <c r="AD65" s="947"/>
      <c r="AE65" s="947"/>
      <c r="AF65" s="947"/>
      <c r="AG65" s="947"/>
      <c r="AH65" s="947"/>
      <c r="AI65" s="1187"/>
      <c r="AJ65" s="1188"/>
      <c r="AK65" s="947"/>
      <c r="AL65" s="947"/>
      <c r="AM65" s="947"/>
      <c r="AN65" s="947"/>
      <c r="AO65" s="947"/>
      <c r="AP65" s="947"/>
      <c r="AQ65" s="1179"/>
      <c r="AR65" s="947"/>
      <c r="AS65" s="947"/>
      <c r="AT65" s="947"/>
      <c r="AU65" s="947"/>
      <c r="AV65" s="947"/>
      <c r="AW65" s="947"/>
      <c r="AX65" s="947"/>
      <c r="AY65" s="1179"/>
      <c r="AZ65" s="947"/>
      <c r="BA65" s="947"/>
      <c r="BB65" s="947"/>
      <c r="BC65" s="947"/>
      <c r="BD65" s="947"/>
      <c r="BE65" s="947"/>
      <c r="BF65" s="947"/>
      <c r="BG65" s="1179"/>
      <c r="BH65" s="947"/>
      <c r="BI65" s="947"/>
      <c r="BJ65" s="1185" t="s">
        <v>645</v>
      </c>
      <c r="BK65" s="1185" t="s">
        <v>646</v>
      </c>
      <c r="BL65" s="1188" t="s">
        <v>647</v>
      </c>
      <c r="BM65" s="1188" t="s">
        <v>647</v>
      </c>
      <c r="BN65" s="1188" t="s">
        <v>647</v>
      </c>
      <c r="BO65" s="1179" t="s">
        <v>647</v>
      </c>
      <c r="BQ65" s="690"/>
      <c r="BR65" s="690"/>
      <c r="BS65" s="80"/>
      <c r="BT65" s="690"/>
      <c r="BX65" s="76"/>
      <c r="BY65" s="762">
        <f t="shared" si="6"/>
        <v>2075</v>
      </c>
      <c r="BZ65" s="691">
        <f t="shared" si="7"/>
        <v>432109293620788.75</v>
      </c>
      <c r="CA65" s="319">
        <f t="shared" si="4"/>
        <v>0.03</v>
      </c>
      <c r="CB65" s="762">
        <f t="shared" si="8"/>
        <v>12963278808623.662</v>
      </c>
    </row>
    <row r="66" spans="1:80" ht="13.95" customHeight="1" x14ac:dyDescent="0.3">
      <c r="A66" s="938"/>
      <c r="B66" s="1177"/>
      <c r="C66" s="1178"/>
      <c r="D66" s="947"/>
      <c r="E66" s="947"/>
      <c r="F66" s="947"/>
      <c r="G66" s="947"/>
      <c r="H66" s="947"/>
      <c r="I66" s="947"/>
      <c r="J66" s="947"/>
      <c r="K66" s="1179"/>
      <c r="L66" s="947"/>
      <c r="M66" s="947"/>
      <c r="N66" s="947"/>
      <c r="O66" s="947"/>
      <c r="P66" s="947"/>
      <c r="Q66" s="947"/>
      <c r="R66" s="947"/>
      <c r="S66" s="1179"/>
      <c r="T66" s="947"/>
      <c r="U66" s="947"/>
      <c r="V66" s="947"/>
      <c r="W66" s="947"/>
      <c r="X66" s="947"/>
      <c r="Y66" s="947"/>
      <c r="Z66" s="947"/>
      <c r="AA66" s="1179"/>
      <c r="AB66" s="947"/>
      <c r="AC66" s="947"/>
      <c r="AD66" s="947"/>
      <c r="AE66" s="947"/>
      <c r="AF66" s="947"/>
      <c r="AG66" s="947"/>
      <c r="AH66" s="947"/>
      <c r="AI66" s="1187"/>
      <c r="AJ66" s="1188"/>
      <c r="AK66" s="947"/>
      <c r="AL66" s="947"/>
      <c r="AM66" s="947"/>
      <c r="AN66" s="947"/>
      <c r="AO66" s="947"/>
      <c r="AP66" s="947"/>
      <c r="AQ66" s="1179"/>
      <c r="AR66" s="947"/>
      <c r="AS66" s="947"/>
      <c r="AT66" s="947"/>
      <c r="AU66" s="947"/>
      <c r="AV66" s="947"/>
      <c r="AW66" s="947"/>
      <c r="AX66" s="947"/>
      <c r="AY66" s="1179"/>
      <c r="AZ66" s="947"/>
      <c r="BA66" s="947"/>
      <c r="BB66" s="947"/>
      <c r="BC66" s="947"/>
      <c r="BD66" s="947"/>
      <c r="BE66" s="947"/>
      <c r="BF66" s="947"/>
      <c r="BG66" s="1179"/>
      <c r="BH66" s="947"/>
      <c r="BI66" s="947"/>
      <c r="BJ66" s="1185">
        <v>0</v>
      </c>
      <c r="BK66" s="1185">
        <v>0</v>
      </c>
      <c r="BL66" s="1188">
        <f>BL64*2</f>
        <v>1073741824</v>
      </c>
      <c r="BM66" s="1188">
        <f>BM64*2</f>
        <v>1073741824</v>
      </c>
      <c r="BN66" s="1188">
        <f>BN64*2</f>
        <v>1073741824</v>
      </c>
      <c r="BO66" s="1179">
        <f>BO64*2</f>
        <v>1073741824</v>
      </c>
      <c r="BP66" s="42">
        <f>SUM(D66:BO66)</f>
        <v>4294967296</v>
      </c>
      <c r="BQ66" s="690">
        <f>BQ38</f>
        <v>167772.16</v>
      </c>
      <c r="BR66" s="690">
        <f>BP66*BQ66</f>
        <v>720575940379279.38</v>
      </c>
      <c r="BS66" s="80">
        <f>BS64/2</f>
        <v>9.3132257461547852E-10</v>
      </c>
      <c r="BT66" s="690">
        <f>BP66*BQ66*BS66</f>
        <v>671088.64000000001</v>
      </c>
      <c r="BU66" s="1">
        <f>BP66*BS66</f>
        <v>4</v>
      </c>
      <c r="BX66" s="76"/>
      <c r="BY66" s="762">
        <f t="shared" si="6"/>
        <v>2076</v>
      </c>
      <c r="BZ66" s="691">
        <f t="shared" si="7"/>
        <v>445072572429412.44</v>
      </c>
      <c r="CA66" s="319">
        <f t="shared" si="4"/>
        <v>0.03</v>
      </c>
      <c r="CB66" s="762">
        <f t="shared" si="8"/>
        <v>13352177172882.373</v>
      </c>
    </row>
    <row r="67" spans="1:80" ht="13.95" customHeight="1" x14ac:dyDescent="0.3">
      <c r="A67" s="938"/>
      <c r="B67" s="1177"/>
      <c r="C67" s="1178"/>
      <c r="D67" s="947"/>
      <c r="E67" s="947"/>
      <c r="F67" s="947"/>
      <c r="G67" s="947"/>
      <c r="H67" s="947"/>
      <c r="I67" s="947"/>
      <c r="J67" s="947"/>
      <c r="K67" s="1179"/>
      <c r="L67" s="947"/>
      <c r="M67" s="947"/>
      <c r="N67" s="947"/>
      <c r="O67" s="947"/>
      <c r="P67" s="947"/>
      <c r="Q67" s="947"/>
      <c r="R67" s="947"/>
      <c r="S67" s="1179"/>
      <c r="T67" s="947"/>
      <c r="U67" s="947"/>
      <c r="V67" s="947"/>
      <c r="W67" s="947"/>
      <c r="X67" s="947"/>
      <c r="Y67" s="947"/>
      <c r="Z67" s="947"/>
      <c r="AA67" s="1179"/>
      <c r="AB67" s="947"/>
      <c r="AC67" s="947"/>
      <c r="AD67" s="947"/>
      <c r="AE67" s="947"/>
      <c r="AF67" s="947"/>
      <c r="AG67" s="947"/>
      <c r="AH67" s="947"/>
      <c r="AI67" s="1187"/>
      <c r="AJ67" s="1188"/>
      <c r="AK67" s="947"/>
      <c r="AL67" s="947"/>
      <c r="AM67" s="947"/>
      <c r="AN67" s="947"/>
      <c r="AO67" s="947"/>
      <c r="AP67" s="947"/>
      <c r="AQ67" s="1179"/>
      <c r="AR67" s="947"/>
      <c r="AS67" s="947"/>
      <c r="AT67" s="947"/>
      <c r="AU67" s="947"/>
      <c r="AV67" s="947"/>
      <c r="AW67" s="947"/>
      <c r="AX67" s="947"/>
      <c r="AY67" s="1179"/>
      <c r="AZ67" s="947"/>
      <c r="BA67" s="947"/>
      <c r="BB67" s="947"/>
      <c r="BC67" s="947"/>
      <c r="BD67" s="947"/>
      <c r="BE67" s="947"/>
      <c r="BF67" s="947"/>
      <c r="BG67" s="1179"/>
      <c r="BH67" s="947"/>
      <c r="BI67" s="947"/>
      <c r="BJ67" s="1185"/>
      <c r="BK67" s="1185"/>
      <c r="BL67" s="947" t="s">
        <v>645</v>
      </c>
      <c r="BM67" s="947" t="s">
        <v>646</v>
      </c>
      <c r="BN67" s="1188" t="s">
        <v>647</v>
      </c>
      <c r="BO67" s="1179" t="s">
        <v>647</v>
      </c>
      <c r="BQ67" s="690"/>
      <c r="BR67" s="690"/>
      <c r="BS67" s="80"/>
      <c r="BT67" s="690"/>
      <c r="BX67" s="76"/>
      <c r="BY67" s="693">
        <f t="shared" si="6"/>
        <v>2077</v>
      </c>
      <c r="BZ67" s="690">
        <f t="shared" si="7"/>
        <v>458424749602294.81</v>
      </c>
      <c r="CA67" s="19">
        <f t="shared" si="4"/>
        <v>0.03</v>
      </c>
      <c r="CB67" s="693">
        <f t="shared" si="8"/>
        <v>13752742488068.844</v>
      </c>
    </row>
    <row r="68" spans="1:80" ht="13.95" customHeight="1" x14ac:dyDescent="0.3">
      <c r="A68" s="938"/>
      <c r="B68" s="1177"/>
      <c r="C68" s="1178"/>
      <c r="D68" s="947"/>
      <c r="E68" s="947"/>
      <c r="F68" s="947"/>
      <c r="G68" s="947"/>
      <c r="H68" s="947"/>
      <c r="I68" s="947"/>
      <c r="J68" s="947"/>
      <c r="K68" s="1179"/>
      <c r="L68" s="947"/>
      <c r="M68" s="947"/>
      <c r="N68" s="947"/>
      <c r="O68" s="947"/>
      <c r="P68" s="947"/>
      <c r="Q68" s="947"/>
      <c r="R68" s="947"/>
      <c r="S68" s="1179"/>
      <c r="T68" s="947"/>
      <c r="U68" s="947"/>
      <c r="V68" s="947"/>
      <c r="W68" s="947"/>
      <c r="X68" s="947"/>
      <c r="Y68" s="947"/>
      <c r="Z68" s="947"/>
      <c r="AA68" s="1179"/>
      <c r="AB68" s="947"/>
      <c r="AC68" s="947"/>
      <c r="AD68" s="947"/>
      <c r="AE68" s="947"/>
      <c r="AF68" s="947"/>
      <c r="AG68" s="947"/>
      <c r="AH68" s="947"/>
      <c r="AI68" s="1187"/>
      <c r="AJ68" s="1188"/>
      <c r="AK68" s="947"/>
      <c r="AL68" s="947"/>
      <c r="AM68" s="947"/>
      <c r="AN68" s="947"/>
      <c r="AO68" s="947"/>
      <c r="AP68" s="947"/>
      <c r="AQ68" s="1179"/>
      <c r="AR68" s="947"/>
      <c r="AS68" s="947"/>
      <c r="AT68" s="947"/>
      <c r="AU68" s="947"/>
      <c r="AV68" s="947"/>
      <c r="AW68" s="947"/>
      <c r="AX68" s="947"/>
      <c r="AY68" s="1179"/>
      <c r="AZ68" s="947"/>
      <c r="BA68" s="947"/>
      <c r="BB68" s="947"/>
      <c r="BC68" s="947"/>
      <c r="BD68" s="947"/>
      <c r="BE68" s="947"/>
      <c r="BF68" s="947"/>
      <c r="BG68" s="1179"/>
      <c r="BH68" s="947"/>
      <c r="BI68" s="947"/>
      <c r="BJ68" s="1185"/>
      <c r="BK68" s="1185"/>
      <c r="BL68" s="947">
        <v>0</v>
      </c>
      <c r="BM68" s="947">
        <v>0</v>
      </c>
      <c r="BN68" s="1188">
        <f>BN66*2</f>
        <v>2147483648</v>
      </c>
      <c r="BO68" s="1179">
        <f>BO66*2</f>
        <v>2147483648</v>
      </c>
      <c r="BP68" s="42">
        <f>SUM(D68:BO68)</f>
        <v>4294967296</v>
      </c>
      <c r="BQ68" s="690">
        <f>BQ40</f>
        <v>167772.16</v>
      </c>
      <c r="BR68" s="690">
        <f>BP68*BQ68</f>
        <v>720575940379279.38</v>
      </c>
      <c r="BS68" s="80">
        <f>BS66/2</f>
        <v>4.6566128730773926E-10</v>
      </c>
      <c r="BT68" s="690">
        <f>BP68*BQ68*BS68</f>
        <v>335544.32000000001</v>
      </c>
      <c r="BU68" s="1">
        <f>BP68*BS68</f>
        <v>2</v>
      </c>
      <c r="BX68" s="76"/>
      <c r="BY68" s="693">
        <f t="shared" si="6"/>
        <v>2078</v>
      </c>
      <c r="BZ68" s="690">
        <f t="shared" si="7"/>
        <v>472177492090363.63</v>
      </c>
      <c r="CA68" s="19">
        <f t="shared" si="4"/>
        <v>0.03</v>
      </c>
      <c r="CB68" s="693">
        <f t="shared" si="8"/>
        <v>14165324762710.908</v>
      </c>
    </row>
    <row r="69" spans="1:80" ht="13.95" customHeight="1" x14ac:dyDescent="0.3">
      <c r="A69" s="938"/>
      <c r="B69" s="1177"/>
      <c r="C69" s="1178"/>
      <c r="D69" s="947"/>
      <c r="E69" s="947"/>
      <c r="F69" s="947"/>
      <c r="G69" s="947"/>
      <c r="H69" s="947"/>
      <c r="I69" s="947"/>
      <c r="J69" s="947"/>
      <c r="K69" s="1179"/>
      <c r="L69" s="947"/>
      <c r="M69" s="947"/>
      <c r="N69" s="947"/>
      <c r="O69" s="947"/>
      <c r="P69" s="947"/>
      <c r="Q69" s="947"/>
      <c r="R69" s="947"/>
      <c r="S69" s="1179"/>
      <c r="T69" s="947"/>
      <c r="U69" s="947"/>
      <c r="V69" s="947"/>
      <c r="W69" s="947"/>
      <c r="X69" s="947"/>
      <c r="Y69" s="947"/>
      <c r="Z69" s="947"/>
      <c r="AA69" s="1179"/>
      <c r="AB69" s="947"/>
      <c r="AC69" s="947"/>
      <c r="AD69" s="947"/>
      <c r="AE69" s="947"/>
      <c r="AF69" s="947"/>
      <c r="AG69" s="947"/>
      <c r="AH69" s="947"/>
      <c r="AI69" s="1187"/>
      <c r="AJ69" s="1188"/>
      <c r="AK69" s="947"/>
      <c r="AL69" s="947"/>
      <c r="AM69" s="947"/>
      <c r="AN69" s="947"/>
      <c r="AO69" s="947"/>
      <c r="AP69" s="947"/>
      <c r="AQ69" s="1179"/>
      <c r="AR69" s="947"/>
      <c r="AS69" s="947"/>
      <c r="AT69" s="947"/>
      <c r="AU69" s="947"/>
      <c r="AV69" s="947"/>
      <c r="AW69" s="947"/>
      <c r="AX69" s="947"/>
      <c r="AY69" s="1179"/>
      <c r="AZ69" s="947"/>
      <c r="BA69" s="947"/>
      <c r="BB69" s="947"/>
      <c r="BC69" s="947"/>
      <c r="BD69" s="947"/>
      <c r="BE69" s="947"/>
      <c r="BF69" s="947"/>
      <c r="BG69" s="1179"/>
      <c r="BH69" s="947"/>
      <c r="BI69" s="947"/>
      <c r="BJ69" s="1185"/>
      <c r="BK69" s="1185"/>
      <c r="BL69" s="947"/>
      <c r="BM69" s="947"/>
      <c r="BN69" s="947" t="s">
        <v>645</v>
      </c>
      <c r="BO69" s="1179" t="s">
        <v>646</v>
      </c>
      <c r="BP69" s="288"/>
      <c r="BT69" s="690"/>
      <c r="BX69" s="76"/>
      <c r="BY69" s="693">
        <f t="shared" si="6"/>
        <v>2079</v>
      </c>
      <c r="BZ69" s="690">
        <f t="shared" si="7"/>
        <v>486342816853074.56</v>
      </c>
      <c r="CA69" s="19">
        <f t="shared" si="4"/>
        <v>0.03</v>
      </c>
      <c r="CB69" s="693">
        <f t="shared" si="8"/>
        <v>14590284505592.236</v>
      </c>
    </row>
    <row r="70" spans="1:80" ht="13.95" customHeight="1" x14ac:dyDescent="0.3">
      <c r="A70" s="938"/>
      <c r="B70" s="1177"/>
      <c r="C70" s="1178"/>
      <c r="D70" s="947"/>
      <c r="E70" s="947"/>
      <c r="F70" s="947"/>
      <c r="G70" s="947"/>
      <c r="H70" s="947"/>
      <c r="I70" s="947"/>
      <c r="J70" s="947"/>
      <c r="K70" s="1179"/>
      <c r="L70" s="947"/>
      <c r="M70" s="947"/>
      <c r="N70" s="947"/>
      <c r="O70" s="947"/>
      <c r="P70" s="947"/>
      <c r="Q70" s="947"/>
      <c r="R70" s="947"/>
      <c r="S70" s="1179"/>
      <c r="T70" s="947"/>
      <c r="U70" s="947"/>
      <c r="V70" s="947"/>
      <c r="W70" s="947"/>
      <c r="X70" s="947"/>
      <c r="Y70" s="947"/>
      <c r="Z70" s="947"/>
      <c r="AA70" s="1179"/>
      <c r="AB70" s="947"/>
      <c r="AC70" s="947"/>
      <c r="AD70" s="947"/>
      <c r="AE70" s="947"/>
      <c r="AF70" s="947"/>
      <c r="AG70" s="947"/>
      <c r="AH70" s="947"/>
      <c r="AI70" s="1187"/>
      <c r="AJ70" s="1188"/>
      <c r="AK70" s="947"/>
      <c r="AL70" s="947"/>
      <c r="AM70" s="947"/>
      <c r="AN70" s="947"/>
      <c r="AO70" s="947"/>
      <c r="AP70" s="947"/>
      <c r="AQ70" s="1179"/>
      <c r="AR70" s="947"/>
      <c r="AS70" s="947"/>
      <c r="AT70" s="947"/>
      <c r="AU70" s="947"/>
      <c r="AV70" s="947"/>
      <c r="AW70" s="947"/>
      <c r="AX70" s="947"/>
      <c r="AY70" s="1179"/>
      <c r="AZ70" s="947"/>
      <c r="BA70" s="947"/>
      <c r="BB70" s="947"/>
      <c r="BC70" s="947"/>
      <c r="BD70" s="947"/>
      <c r="BE70" s="947"/>
      <c r="BF70" s="947"/>
      <c r="BG70" s="1179"/>
      <c r="BH70" s="947"/>
      <c r="BI70" s="947"/>
      <c r="BJ70" s="1185"/>
      <c r="BK70" s="1185"/>
      <c r="BL70" s="947"/>
      <c r="BM70" s="947"/>
      <c r="BN70" s="947">
        <v>0</v>
      </c>
      <c r="BO70" s="1179">
        <v>0</v>
      </c>
      <c r="BP70" s="306"/>
      <c r="BQ70" s="7"/>
      <c r="BR70" s="7"/>
      <c r="BT70" s="690">
        <f>SUM(BT8:BT69)</f>
        <v>166429982.72</v>
      </c>
      <c r="BU70" s="690"/>
      <c r="BX70" s="76"/>
      <c r="BY70" s="317">
        <f t="shared" si="6"/>
        <v>2080</v>
      </c>
      <c r="BZ70" s="222">
        <f t="shared" si="7"/>
        <v>500933101358666.81</v>
      </c>
      <c r="CA70" s="316">
        <f t="shared" si="4"/>
        <v>0.03</v>
      </c>
      <c r="CB70" s="317">
        <f t="shared" si="8"/>
        <v>15027993040760.004</v>
      </c>
    </row>
    <row r="71" spans="1:80" ht="21" x14ac:dyDescent="0.4">
      <c r="A71" s="938"/>
      <c r="B71" s="1177"/>
      <c r="C71" s="1178"/>
      <c r="D71" s="947"/>
      <c r="E71" s="947"/>
      <c r="F71" s="947"/>
      <c r="G71" s="947"/>
      <c r="H71" s="947"/>
      <c r="I71" s="947"/>
      <c r="J71" s="947"/>
      <c r="K71" s="1179"/>
      <c r="L71" s="947"/>
      <c r="M71" s="947"/>
      <c r="N71" s="947"/>
      <c r="O71" s="947"/>
      <c r="P71" s="947"/>
      <c r="Q71" s="947"/>
      <c r="R71" s="947"/>
      <c r="S71" s="1179"/>
      <c r="T71" s="947"/>
      <c r="U71" s="947"/>
      <c r="V71" s="947"/>
      <c r="W71" s="947"/>
      <c r="X71" s="947"/>
      <c r="Y71" s="947"/>
      <c r="Z71" s="947"/>
      <c r="AA71" s="1179"/>
      <c r="AB71" s="947"/>
      <c r="AC71" s="947"/>
      <c r="AD71" s="947"/>
      <c r="AE71" s="947"/>
      <c r="AF71" s="947"/>
      <c r="AG71" s="947"/>
      <c r="AH71" s="938"/>
      <c r="AI71" s="1180"/>
      <c r="AJ71" s="942"/>
      <c r="AK71" s="938"/>
      <c r="AL71" s="938"/>
      <c r="AM71" s="938"/>
      <c r="AN71" s="938"/>
      <c r="AO71" s="938"/>
      <c r="AP71" s="938"/>
      <c r="AQ71" s="1181"/>
      <c r="AR71" s="938"/>
      <c r="AS71" s="938"/>
      <c r="AT71" s="938"/>
      <c r="AU71" s="938"/>
      <c r="AV71" s="938"/>
      <c r="AW71" s="938"/>
      <c r="AX71" s="938"/>
      <c r="AY71" s="1181"/>
      <c r="AZ71" s="938"/>
      <c r="BA71" s="938"/>
      <c r="BB71" s="938"/>
      <c r="BC71" s="938"/>
      <c r="BD71" s="938"/>
      <c r="BE71" s="938"/>
      <c r="BF71" s="938"/>
      <c r="BG71" s="1181"/>
      <c r="BH71" s="938"/>
      <c r="BI71" s="938"/>
      <c r="BJ71" s="1182"/>
      <c r="BK71" s="1182"/>
      <c r="BL71" s="938"/>
      <c r="BM71" s="938"/>
      <c r="BN71" s="938"/>
      <c r="BO71" s="1181"/>
      <c r="BP71" s="307"/>
      <c r="BQ71" s="308"/>
      <c r="BR71" s="309"/>
      <c r="BV71" s="289"/>
      <c r="BX71" s="76"/>
    </row>
    <row r="72" spans="1:80" ht="21" x14ac:dyDescent="0.4">
      <c r="A72" s="938"/>
      <c r="B72" s="1177"/>
      <c r="C72" s="1178"/>
      <c r="D72" s="947"/>
      <c r="E72" s="947"/>
      <c r="F72" s="947"/>
      <c r="G72" s="947"/>
      <c r="H72" s="947"/>
      <c r="I72" s="947"/>
      <c r="J72" s="947"/>
      <c r="K72" s="1179"/>
      <c r="L72" s="947"/>
      <c r="M72" s="947"/>
      <c r="N72" s="947"/>
      <c r="O72" s="947"/>
      <c r="P72" s="947"/>
      <c r="Q72" s="947"/>
      <c r="R72" s="947"/>
      <c r="S72" s="1179"/>
      <c r="T72" s="947"/>
      <c r="U72" s="947"/>
      <c r="V72" s="947"/>
      <c r="W72" s="947"/>
      <c r="X72" s="947"/>
      <c r="Y72" s="947"/>
      <c r="Z72" s="947"/>
      <c r="AA72" s="1179"/>
      <c r="AB72" s="947"/>
      <c r="AC72" s="947"/>
      <c r="AD72" s="947"/>
      <c r="AE72" s="947"/>
      <c r="AF72" s="947"/>
      <c r="AG72" s="947"/>
      <c r="AH72" s="938"/>
      <c r="AI72" s="1180"/>
      <c r="AJ72" s="942"/>
      <c r="AK72" s="938"/>
      <c r="AL72" s="938"/>
      <c r="AM72" s="938"/>
      <c r="AN72" s="938"/>
      <c r="AO72" s="938"/>
      <c r="AP72" s="938"/>
      <c r="AQ72" s="1181"/>
      <c r="AR72" s="938"/>
      <c r="AS72" s="938"/>
      <c r="AT72" s="938"/>
      <c r="AU72" s="938"/>
      <c r="AV72" s="938"/>
      <c r="AW72" s="938"/>
      <c r="AX72" s="938"/>
      <c r="AY72" s="1181"/>
      <c r="AZ72" s="938"/>
      <c r="BA72" s="938"/>
      <c r="BB72" s="938"/>
      <c r="BC72" s="938"/>
      <c r="BD72" s="938"/>
      <c r="BE72" s="938"/>
      <c r="BF72" s="938"/>
      <c r="BG72" s="1181"/>
      <c r="BH72" s="938"/>
      <c r="BI72" s="938"/>
      <c r="BJ72" s="1182"/>
      <c r="BK72" s="1182"/>
      <c r="BL72" s="938"/>
      <c r="BM72" s="938"/>
      <c r="BN72" s="938"/>
      <c r="BO72" s="1181"/>
      <c r="BP72" s="290" t="s">
        <v>657</v>
      </c>
      <c r="BR72" s="311" t="s">
        <v>656</v>
      </c>
      <c r="BS72" s="291"/>
      <c r="BT72" s="291"/>
      <c r="BU72" s="291"/>
      <c r="BV72" s="292"/>
      <c r="BX72" s="76"/>
    </row>
    <row r="73" spans="1:80" ht="13.95" customHeight="1" x14ac:dyDescent="0.3">
      <c r="A73" s="938"/>
      <c r="B73" s="1177"/>
      <c r="C73" s="1178"/>
      <c r="D73" s="947"/>
      <c r="E73" s="947"/>
      <c r="F73" s="947"/>
      <c r="G73" s="947"/>
      <c r="H73" s="947"/>
      <c r="I73" s="947"/>
      <c r="J73" s="947"/>
      <c r="K73" s="1179"/>
      <c r="L73" s="947"/>
      <c r="M73" s="947"/>
      <c r="N73" s="947"/>
      <c r="O73" s="947"/>
      <c r="P73" s="947"/>
      <c r="Q73" s="947"/>
      <c r="R73" s="947"/>
      <c r="S73" s="1179"/>
      <c r="T73" s="947"/>
      <c r="U73" s="947"/>
      <c r="V73" s="947"/>
      <c r="W73" s="947"/>
      <c r="X73" s="947"/>
      <c r="Y73" s="947"/>
      <c r="Z73" s="947"/>
      <c r="AA73" s="1179"/>
      <c r="AB73" s="947"/>
      <c r="AC73" s="947"/>
      <c r="AD73" s="947"/>
      <c r="AE73" s="947"/>
      <c r="AF73" s="947"/>
      <c r="AG73" s="947"/>
      <c r="AH73" s="938"/>
      <c r="AI73" s="1180"/>
      <c r="AJ73" s="942"/>
      <c r="AK73" s="938"/>
      <c r="AL73" s="938"/>
      <c r="AM73" s="938"/>
      <c r="AN73" s="938"/>
      <c r="AO73" s="938"/>
      <c r="AP73" s="938"/>
      <c r="AQ73" s="1181"/>
      <c r="AR73" s="938"/>
      <c r="AS73" s="938"/>
      <c r="AT73" s="938"/>
      <c r="AU73" s="938"/>
      <c r="AV73" s="938"/>
      <c r="AW73" s="938"/>
      <c r="AX73" s="938"/>
      <c r="AY73" s="1181"/>
      <c r="AZ73" s="938"/>
      <c r="BA73" s="938"/>
      <c r="BB73" s="938"/>
      <c r="BC73" s="938"/>
      <c r="BD73" s="938"/>
      <c r="BE73" s="938"/>
      <c r="BF73" s="938"/>
      <c r="BG73" s="1181"/>
      <c r="BH73" s="938"/>
      <c r="BI73" s="938"/>
      <c r="BJ73" s="1182"/>
      <c r="BK73" s="1182"/>
      <c r="BL73" s="938"/>
      <c r="BM73" s="938"/>
      <c r="BN73" s="938"/>
      <c r="BO73" s="1181"/>
      <c r="BV73" s="690"/>
      <c r="BX73" s="76"/>
    </row>
    <row r="74" spans="1:80" s="938" customFormat="1" ht="13.95" customHeight="1" thickBot="1" x14ac:dyDescent="0.35">
      <c r="B74" s="1177"/>
      <c r="C74" s="1178"/>
      <c r="D74" s="1033">
        <f t="shared" ref="D74:BL74" si="36">SUM(D8:D73)</f>
        <v>0</v>
      </c>
      <c r="E74" s="1033">
        <v>0</v>
      </c>
      <c r="F74" s="1033">
        <f t="shared" si="36"/>
        <v>2</v>
      </c>
      <c r="G74" s="1033">
        <f t="shared" si="36"/>
        <v>2</v>
      </c>
      <c r="H74" s="1033">
        <f t="shared" si="36"/>
        <v>6</v>
      </c>
      <c r="I74" s="1033">
        <f t="shared" si="36"/>
        <v>6</v>
      </c>
      <c r="J74" s="1033">
        <f t="shared" si="36"/>
        <v>14</v>
      </c>
      <c r="K74" s="1199">
        <f t="shared" si="36"/>
        <v>14</v>
      </c>
      <c r="L74" s="1033">
        <f t="shared" si="36"/>
        <v>30</v>
      </c>
      <c r="M74" s="1033">
        <f t="shared" si="36"/>
        <v>30</v>
      </c>
      <c r="N74" s="1033">
        <f t="shared" si="36"/>
        <v>62</v>
      </c>
      <c r="O74" s="1033">
        <f t="shared" si="36"/>
        <v>62</v>
      </c>
      <c r="P74" s="1033">
        <f t="shared" si="36"/>
        <v>126</v>
      </c>
      <c r="Q74" s="1033">
        <f t="shared" si="36"/>
        <v>126</v>
      </c>
      <c r="R74" s="1033">
        <f t="shared" si="36"/>
        <v>254</v>
      </c>
      <c r="S74" s="1199">
        <f t="shared" si="36"/>
        <v>254</v>
      </c>
      <c r="T74" s="1033">
        <f t="shared" si="36"/>
        <v>510</v>
      </c>
      <c r="U74" s="1033">
        <f t="shared" si="36"/>
        <v>510</v>
      </c>
      <c r="V74" s="1033">
        <f t="shared" si="36"/>
        <v>1022</v>
      </c>
      <c r="W74" s="1033">
        <f t="shared" si="36"/>
        <v>1022</v>
      </c>
      <c r="X74" s="1033">
        <f t="shared" si="36"/>
        <v>2046</v>
      </c>
      <c r="Y74" s="1033">
        <f t="shared" si="36"/>
        <v>2046</v>
      </c>
      <c r="Z74" s="1033">
        <f t="shared" si="36"/>
        <v>4094</v>
      </c>
      <c r="AA74" s="1199">
        <f t="shared" si="36"/>
        <v>4094</v>
      </c>
      <c r="AB74" s="1033">
        <f t="shared" si="36"/>
        <v>8190</v>
      </c>
      <c r="AC74" s="1033">
        <f t="shared" si="36"/>
        <v>8190</v>
      </c>
      <c r="AD74" s="1033">
        <f t="shared" si="36"/>
        <v>16382</v>
      </c>
      <c r="AE74" s="1033">
        <f t="shared" si="36"/>
        <v>16382</v>
      </c>
      <c r="AF74" s="1033">
        <f t="shared" si="36"/>
        <v>32766</v>
      </c>
      <c r="AG74" s="1033">
        <f t="shared" si="36"/>
        <v>32766</v>
      </c>
      <c r="AH74" s="1033">
        <f t="shared" si="36"/>
        <v>65534</v>
      </c>
      <c r="AI74" s="1200">
        <f t="shared" si="36"/>
        <v>65534</v>
      </c>
      <c r="AJ74" s="1033">
        <f t="shared" si="36"/>
        <v>131070</v>
      </c>
      <c r="AK74" s="1033">
        <f t="shared" si="36"/>
        <v>131070</v>
      </c>
      <c r="AL74" s="1033">
        <f t="shared" si="36"/>
        <v>262142</v>
      </c>
      <c r="AM74" s="1033">
        <f t="shared" si="36"/>
        <v>262142</v>
      </c>
      <c r="AN74" s="1033">
        <f t="shared" si="36"/>
        <v>524286</v>
      </c>
      <c r="AO74" s="1033">
        <f t="shared" si="36"/>
        <v>524286</v>
      </c>
      <c r="AP74" s="1033">
        <f t="shared" si="36"/>
        <v>1048574</v>
      </c>
      <c r="AQ74" s="1199">
        <f t="shared" si="36"/>
        <v>1048574</v>
      </c>
      <c r="AR74" s="1033">
        <f t="shared" si="36"/>
        <v>2097150</v>
      </c>
      <c r="AS74" s="1033">
        <f t="shared" si="36"/>
        <v>2097150</v>
      </c>
      <c r="AT74" s="1033">
        <f t="shared" si="36"/>
        <v>4194302</v>
      </c>
      <c r="AU74" s="1033">
        <f t="shared" si="36"/>
        <v>4194302</v>
      </c>
      <c r="AV74" s="1033">
        <f t="shared" si="36"/>
        <v>8388606</v>
      </c>
      <c r="AW74" s="1033">
        <f t="shared" si="36"/>
        <v>8388606</v>
      </c>
      <c r="AX74" s="1033">
        <f t="shared" si="36"/>
        <v>16777214</v>
      </c>
      <c r="AY74" s="1199">
        <f t="shared" si="36"/>
        <v>16777214</v>
      </c>
      <c r="AZ74" s="1033">
        <f t="shared" si="36"/>
        <v>33554430</v>
      </c>
      <c r="BA74" s="1033">
        <f t="shared" si="36"/>
        <v>33554430</v>
      </c>
      <c r="BB74" s="1033">
        <f t="shared" si="36"/>
        <v>67108862</v>
      </c>
      <c r="BC74" s="1033">
        <f t="shared" si="36"/>
        <v>67108862</v>
      </c>
      <c r="BD74" s="1033">
        <f t="shared" si="36"/>
        <v>134217726</v>
      </c>
      <c r="BE74" s="1033">
        <f t="shared" si="36"/>
        <v>134217726</v>
      </c>
      <c r="BF74" s="1033">
        <f t="shared" si="36"/>
        <v>268435454</v>
      </c>
      <c r="BG74" s="1199">
        <f t="shared" si="36"/>
        <v>268435454</v>
      </c>
      <c r="BH74" s="1201">
        <f t="shared" si="36"/>
        <v>536870910</v>
      </c>
      <c r="BI74" s="1201">
        <f t="shared" si="36"/>
        <v>536870910</v>
      </c>
      <c r="BJ74" s="1202">
        <f t="shared" si="36"/>
        <v>1073741822</v>
      </c>
      <c r="BK74" s="1202">
        <f t="shared" si="36"/>
        <v>1073741822</v>
      </c>
      <c r="BL74" s="1201">
        <f t="shared" si="36"/>
        <v>2147483646</v>
      </c>
      <c r="BM74" s="1201">
        <f>SUM(BM8:BM73)</f>
        <v>2147483646</v>
      </c>
      <c r="BN74" s="1201">
        <f>SUM(BN8:BN73)</f>
        <v>4294967294</v>
      </c>
      <c r="BO74" s="1203">
        <f>SUM(BO8:BO73)</f>
        <v>4294967294</v>
      </c>
      <c r="BP74" s="1204">
        <f>SUM(BP7:BP73)</f>
        <v>17179869052</v>
      </c>
      <c r="BQ74" s="1205">
        <f>BQ68</f>
        <v>167772.16</v>
      </c>
      <c r="BR74" s="979">
        <f>BP74*BQ74</f>
        <v>2882303739371192.5</v>
      </c>
      <c r="BS74" s="1044"/>
      <c r="BV74" s="940" t="s">
        <v>676</v>
      </c>
      <c r="BW74" s="1181"/>
      <c r="BX74" s="953"/>
    </row>
    <row r="75" spans="1:80" ht="13.95" customHeight="1" x14ac:dyDescent="0.3">
      <c r="D75" s="791">
        <f>BV2</f>
        <v>167772.16</v>
      </c>
      <c r="E75" s="690">
        <f>D75</f>
        <v>167772.16</v>
      </c>
      <c r="F75" s="690">
        <f t="shared" ref="F75:BO75" si="37">E75</f>
        <v>167772.16</v>
      </c>
      <c r="G75" s="690">
        <f t="shared" si="37"/>
        <v>167772.16</v>
      </c>
      <c r="H75" s="690">
        <f t="shared" si="37"/>
        <v>167772.16</v>
      </c>
      <c r="I75" s="690">
        <f t="shared" si="37"/>
        <v>167772.16</v>
      </c>
      <c r="J75" s="690">
        <f t="shared" si="37"/>
        <v>167772.16</v>
      </c>
      <c r="K75" s="282">
        <f t="shared" si="37"/>
        <v>167772.16</v>
      </c>
      <c r="L75" s="690">
        <f t="shared" si="37"/>
        <v>167772.16</v>
      </c>
      <c r="M75" s="690">
        <f t="shared" si="37"/>
        <v>167772.16</v>
      </c>
      <c r="N75" s="690">
        <f t="shared" si="37"/>
        <v>167772.16</v>
      </c>
      <c r="O75" s="690">
        <f t="shared" si="37"/>
        <v>167772.16</v>
      </c>
      <c r="P75" s="690">
        <f t="shared" si="37"/>
        <v>167772.16</v>
      </c>
      <c r="Q75" s="690">
        <f t="shared" si="37"/>
        <v>167772.16</v>
      </c>
      <c r="R75" s="690">
        <f t="shared" si="37"/>
        <v>167772.16</v>
      </c>
      <c r="S75" s="282">
        <f t="shared" si="37"/>
        <v>167772.16</v>
      </c>
      <c r="T75" s="690">
        <f t="shared" si="37"/>
        <v>167772.16</v>
      </c>
      <c r="U75" s="690">
        <f t="shared" si="37"/>
        <v>167772.16</v>
      </c>
      <c r="V75" s="690">
        <f t="shared" si="37"/>
        <v>167772.16</v>
      </c>
      <c r="W75" s="690">
        <f t="shared" si="37"/>
        <v>167772.16</v>
      </c>
      <c r="X75" s="690">
        <f t="shared" si="37"/>
        <v>167772.16</v>
      </c>
      <c r="Y75" s="690">
        <f t="shared" si="37"/>
        <v>167772.16</v>
      </c>
      <c r="Z75" s="690">
        <f t="shared" si="37"/>
        <v>167772.16</v>
      </c>
      <c r="AA75" s="282">
        <f t="shared" si="37"/>
        <v>167772.16</v>
      </c>
      <c r="AB75" s="690">
        <f t="shared" si="37"/>
        <v>167772.16</v>
      </c>
      <c r="AC75" s="690">
        <f t="shared" si="37"/>
        <v>167772.16</v>
      </c>
      <c r="AD75" s="690">
        <f t="shared" si="37"/>
        <v>167772.16</v>
      </c>
      <c r="AE75" s="690">
        <f t="shared" si="37"/>
        <v>167772.16</v>
      </c>
      <c r="AF75" s="690">
        <f t="shared" si="37"/>
        <v>167772.16</v>
      </c>
      <c r="AG75" s="690">
        <f t="shared" si="37"/>
        <v>167772.16</v>
      </c>
      <c r="AH75" s="690">
        <f t="shared" si="37"/>
        <v>167772.16</v>
      </c>
      <c r="AI75" s="690">
        <f t="shared" si="37"/>
        <v>167772.16</v>
      </c>
      <c r="AJ75" s="690">
        <f t="shared" si="37"/>
        <v>167772.16</v>
      </c>
      <c r="AK75" s="690">
        <f t="shared" si="37"/>
        <v>167772.16</v>
      </c>
      <c r="AL75" s="690">
        <f t="shared" si="37"/>
        <v>167772.16</v>
      </c>
      <c r="AM75" s="690">
        <f t="shared" si="37"/>
        <v>167772.16</v>
      </c>
      <c r="AN75" s="690">
        <f t="shared" si="37"/>
        <v>167772.16</v>
      </c>
      <c r="AO75" s="690">
        <f t="shared" si="37"/>
        <v>167772.16</v>
      </c>
      <c r="AP75" s="690">
        <f t="shared" si="37"/>
        <v>167772.16</v>
      </c>
      <c r="AQ75" s="282">
        <f t="shared" si="37"/>
        <v>167772.16</v>
      </c>
      <c r="AR75" s="690">
        <f t="shared" si="37"/>
        <v>167772.16</v>
      </c>
      <c r="AS75" s="690">
        <f t="shared" si="37"/>
        <v>167772.16</v>
      </c>
      <c r="AT75" s="690">
        <f t="shared" si="37"/>
        <v>167772.16</v>
      </c>
      <c r="AU75" s="690">
        <f t="shared" si="37"/>
        <v>167772.16</v>
      </c>
      <c r="AV75" s="690">
        <f t="shared" si="37"/>
        <v>167772.16</v>
      </c>
      <c r="AW75" s="690">
        <f t="shared" si="37"/>
        <v>167772.16</v>
      </c>
      <c r="AX75" s="690">
        <f t="shared" si="37"/>
        <v>167772.16</v>
      </c>
      <c r="AY75" s="282">
        <f t="shared" si="37"/>
        <v>167772.16</v>
      </c>
      <c r="AZ75" s="690">
        <f t="shared" si="37"/>
        <v>167772.16</v>
      </c>
      <c r="BA75" s="690">
        <f t="shared" si="37"/>
        <v>167772.16</v>
      </c>
      <c r="BB75" s="690">
        <f t="shared" si="37"/>
        <v>167772.16</v>
      </c>
      <c r="BC75" s="690">
        <f t="shared" si="37"/>
        <v>167772.16</v>
      </c>
      <c r="BD75" s="690">
        <f t="shared" si="37"/>
        <v>167772.16</v>
      </c>
      <c r="BE75" s="690">
        <f t="shared" si="37"/>
        <v>167772.16</v>
      </c>
      <c r="BF75" s="690">
        <f t="shared" si="37"/>
        <v>167772.16</v>
      </c>
      <c r="BG75" s="282">
        <f t="shared" si="37"/>
        <v>167772.16</v>
      </c>
      <c r="BH75" s="690">
        <f t="shared" si="37"/>
        <v>167772.16</v>
      </c>
      <c r="BI75" s="690">
        <f t="shared" si="37"/>
        <v>167772.16</v>
      </c>
      <c r="BJ75" s="313">
        <f t="shared" si="37"/>
        <v>167772.16</v>
      </c>
      <c r="BK75" s="313">
        <f t="shared" si="37"/>
        <v>167772.16</v>
      </c>
      <c r="BL75" s="690">
        <f t="shared" si="37"/>
        <v>167772.16</v>
      </c>
      <c r="BM75" s="690">
        <f t="shared" si="37"/>
        <v>167772.16</v>
      </c>
      <c r="BN75" s="690">
        <f t="shared" si="37"/>
        <v>167772.16</v>
      </c>
      <c r="BO75" s="282">
        <f t="shared" si="37"/>
        <v>167772.16</v>
      </c>
      <c r="BQ75" s="690"/>
      <c r="BS75" s="690"/>
      <c r="BX75" s="76"/>
    </row>
    <row r="76" spans="1:80" ht="13.95" customHeight="1" x14ac:dyDescent="0.3">
      <c r="BJ76" s="312"/>
      <c r="BK76" s="312"/>
      <c r="BQ76" s="690" t="s">
        <v>658</v>
      </c>
      <c r="BR76" s="32">
        <v>4</v>
      </c>
      <c r="BX76" s="76"/>
    </row>
    <row r="77" spans="1:80" ht="13.95" customHeight="1" thickBot="1" x14ac:dyDescent="0.35">
      <c r="D77" s="293">
        <f t="shared" ref="D77:F77" si="38">D74*D75</f>
        <v>0</v>
      </c>
      <c r="E77" s="293">
        <f t="shared" si="38"/>
        <v>0</v>
      </c>
      <c r="F77" s="293">
        <f t="shared" si="38"/>
        <v>335544.32000000001</v>
      </c>
      <c r="G77" s="293">
        <f>G74*G75</f>
        <v>335544.32000000001</v>
      </c>
      <c r="H77" s="293">
        <f t="shared" ref="H77:BO77" si="39">H74*H75</f>
        <v>1006632.96</v>
      </c>
      <c r="I77" s="293">
        <f t="shared" si="39"/>
        <v>1006632.96</v>
      </c>
      <c r="J77" s="293">
        <f t="shared" si="39"/>
        <v>2348810.2400000002</v>
      </c>
      <c r="K77" s="294">
        <f t="shared" si="39"/>
        <v>2348810.2400000002</v>
      </c>
      <c r="L77" s="293">
        <f t="shared" si="39"/>
        <v>5033164.7999999998</v>
      </c>
      <c r="M77" s="293">
        <f t="shared" si="39"/>
        <v>5033164.7999999998</v>
      </c>
      <c r="N77" s="293">
        <f t="shared" si="39"/>
        <v>10401873.92</v>
      </c>
      <c r="O77" s="293">
        <f t="shared" si="39"/>
        <v>10401873.92</v>
      </c>
      <c r="P77" s="293">
        <f t="shared" si="39"/>
        <v>21139292.16</v>
      </c>
      <c r="Q77" s="293">
        <f t="shared" si="39"/>
        <v>21139292.16</v>
      </c>
      <c r="R77" s="293">
        <f t="shared" si="39"/>
        <v>42614128.640000001</v>
      </c>
      <c r="S77" s="294">
        <f t="shared" si="39"/>
        <v>42614128.640000001</v>
      </c>
      <c r="T77" s="293">
        <f t="shared" si="39"/>
        <v>85563801.600000009</v>
      </c>
      <c r="U77" s="293">
        <f t="shared" si="39"/>
        <v>85563801.600000009</v>
      </c>
      <c r="V77" s="293">
        <f t="shared" si="39"/>
        <v>171463147.52000001</v>
      </c>
      <c r="W77" s="293">
        <f t="shared" si="39"/>
        <v>171463147.52000001</v>
      </c>
      <c r="X77" s="293">
        <f t="shared" si="39"/>
        <v>343261839.36000001</v>
      </c>
      <c r="Y77" s="293">
        <f t="shared" si="39"/>
        <v>343261839.36000001</v>
      </c>
      <c r="Z77" s="293">
        <f t="shared" si="39"/>
        <v>686859223.03999996</v>
      </c>
      <c r="AA77" s="294">
        <f t="shared" si="39"/>
        <v>686859223.03999996</v>
      </c>
      <c r="AB77" s="293">
        <f t="shared" si="39"/>
        <v>1374053990.4000001</v>
      </c>
      <c r="AC77" s="293">
        <f t="shared" si="39"/>
        <v>1374053990.4000001</v>
      </c>
      <c r="AD77" s="293">
        <f t="shared" si="39"/>
        <v>2748443525.1199999</v>
      </c>
      <c r="AE77" s="293">
        <f t="shared" si="39"/>
        <v>2748443525.1199999</v>
      </c>
      <c r="AF77" s="293">
        <f t="shared" si="39"/>
        <v>5497222594.5600004</v>
      </c>
      <c r="AG77" s="293">
        <f t="shared" si="39"/>
        <v>5497222594.5600004</v>
      </c>
      <c r="AH77" s="293">
        <f t="shared" si="39"/>
        <v>10994780733.440001</v>
      </c>
      <c r="AI77" s="293">
        <f t="shared" si="39"/>
        <v>10994780733.440001</v>
      </c>
      <c r="AJ77" s="293">
        <f t="shared" si="39"/>
        <v>21989897011.200001</v>
      </c>
      <c r="AK77" s="293">
        <f t="shared" si="39"/>
        <v>21989897011.200001</v>
      </c>
      <c r="AL77" s="293">
        <f t="shared" si="39"/>
        <v>43980129566.720001</v>
      </c>
      <c r="AM77" s="293">
        <f t="shared" si="39"/>
        <v>43980129566.720001</v>
      </c>
      <c r="AN77" s="293">
        <f t="shared" si="39"/>
        <v>87960594677.759995</v>
      </c>
      <c r="AO77" s="293">
        <f t="shared" si="39"/>
        <v>87960594677.759995</v>
      </c>
      <c r="AP77" s="293">
        <f t="shared" si="39"/>
        <v>175921524899.84</v>
      </c>
      <c r="AQ77" s="294">
        <f t="shared" si="39"/>
        <v>175921524899.84</v>
      </c>
      <c r="AR77" s="293">
        <f t="shared" si="39"/>
        <v>351843385344</v>
      </c>
      <c r="AS77" s="293">
        <f t="shared" si="39"/>
        <v>351843385344</v>
      </c>
      <c r="AT77" s="293">
        <f t="shared" si="39"/>
        <v>703687106232.32007</v>
      </c>
      <c r="AU77" s="293">
        <f t="shared" si="39"/>
        <v>703687106232.32007</v>
      </c>
      <c r="AV77" s="293">
        <f t="shared" si="39"/>
        <v>1407374548008.96</v>
      </c>
      <c r="AW77" s="293">
        <f t="shared" si="39"/>
        <v>1407374548008.96</v>
      </c>
      <c r="AX77" s="293">
        <f t="shared" si="39"/>
        <v>2814749431562.2402</v>
      </c>
      <c r="AY77" s="294">
        <f t="shared" si="39"/>
        <v>2814749431562.2402</v>
      </c>
      <c r="AZ77" s="294">
        <f t="shared" si="39"/>
        <v>5629499198668.7998</v>
      </c>
      <c r="BA77" s="294">
        <f t="shared" si="39"/>
        <v>5629499198668.7998</v>
      </c>
      <c r="BB77" s="294">
        <f t="shared" si="39"/>
        <v>11258998732881.92</v>
      </c>
      <c r="BC77" s="294">
        <f t="shared" si="39"/>
        <v>11258998732881.92</v>
      </c>
      <c r="BD77" s="294">
        <f t="shared" si="39"/>
        <v>22517997801308.16</v>
      </c>
      <c r="BE77" s="294">
        <f t="shared" si="39"/>
        <v>22517997801308.16</v>
      </c>
      <c r="BF77" s="294">
        <f t="shared" si="39"/>
        <v>45035995938160.641</v>
      </c>
      <c r="BG77" s="294">
        <f t="shared" si="39"/>
        <v>45035995938160.641</v>
      </c>
      <c r="BH77" s="294">
        <f t="shared" si="39"/>
        <v>90071992211865.609</v>
      </c>
      <c r="BI77" s="294">
        <f t="shared" si="39"/>
        <v>90071992211865.609</v>
      </c>
      <c r="BJ77" s="314">
        <f t="shared" si="39"/>
        <v>180143984759275.53</v>
      </c>
      <c r="BK77" s="314">
        <f t="shared" si="39"/>
        <v>180143984759275.53</v>
      </c>
      <c r="BL77" s="294">
        <f t="shared" si="39"/>
        <v>360287969854095.38</v>
      </c>
      <c r="BM77" s="294">
        <f t="shared" si="39"/>
        <v>360287969854095.38</v>
      </c>
      <c r="BN77" s="294">
        <f t="shared" si="39"/>
        <v>720575940043735</v>
      </c>
      <c r="BO77" s="294">
        <f t="shared" si="39"/>
        <v>720575940043735</v>
      </c>
      <c r="BQ77" s="12"/>
      <c r="BX77" s="76"/>
    </row>
    <row r="78" spans="1:80" ht="13.95" customHeight="1" thickTop="1" x14ac:dyDescent="0.3">
      <c r="BJ78" s="324"/>
      <c r="BK78" s="325"/>
      <c r="BQ78" s="295" t="s">
        <v>659</v>
      </c>
      <c r="BR78" s="43">
        <f>BR74*BR76</f>
        <v>1.152921495748477E+16</v>
      </c>
      <c r="BX78" s="76"/>
    </row>
    <row r="79" spans="1:80" ht="13.95" customHeight="1" x14ac:dyDescent="0.3">
      <c r="AH79" s="690"/>
      <c r="AX79" s="754"/>
      <c r="AY79" s="297"/>
      <c r="BF79" s="754"/>
      <c r="BG79" s="297"/>
      <c r="BJ79" s="326">
        <v>4</v>
      </c>
      <c r="BK79" s="327" t="s">
        <v>666</v>
      </c>
      <c r="BN79" s="754"/>
      <c r="BQ79" s="1" t="s">
        <v>660</v>
      </c>
      <c r="BX79" s="76"/>
    </row>
    <row r="80" spans="1:80" ht="13.95" customHeight="1" x14ac:dyDescent="0.3">
      <c r="AH80" s="690"/>
      <c r="AX80" s="754"/>
      <c r="AY80" s="297"/>
      <c r="AZ80" s="42"/>
      <c r="BF80" s="754"/>
      <c r="BG80" s="297"/>
      <c r="BH80" s="42"/>
      <c r="BJ80" s="328"/>
      <c r="BK80" s="327"/>
      <c r="BN80" s="754"/>
      <c r="BO80" s="297"/>
      <c r="BX80" s="76"/>
    </row>
    <row r="81" spans="34:76" ht="13.95" customHeight="1" x14ac:dyDescent="0.3">
      <c r="AX81" s="690"/>
      <c r="AY81" s="247"/>
      <c r="BF81" s="690"/>
      <c r="BG81" s="247"/>
      <c r="BI81" s="221" t="s">
        <v>668</v>
      </c>
      <c r="BJ81" s="329">
        <f>BJ77*BJ79</f>
        <v>720575939037102.13</v>
      </c>
      <c r="BK81" s="330"/>
      <c r="BN81" s="690"/>
      <c r="BQ81" s="1" t="s">
        <v>661</v>
      </c>
      <c r="BR81" s="690">
        <f>BR78</f>
        <v>1.152921495748477E+16</v>
      </c>
      <c r="BV81" s="1" t="s">
        <v>679</v>
      </c>
      <c r="BX81" s="76"/>
    </row>
    <row r="82" spans="34:76" ht="13.95" customHeight="1" x14ac:dyDescent="0.3">
      <c r="AH82" s="18"/>
      <c r="AX82" s="754"/>
      <c r="AY82" s="298"/>
      <c r="BF82" s="754"/>
      <c r="BG82" s="298"/>
      <c r="BN82" s="754"/>
      <c r="BO82" s="298"/>
      <c r="BR82" s="336" t="s">
        <v>670</v>
      </c>
      <c r="BX82" s="76"/>
    </row>
    <row r="83" spans="34:76" ht="13.95" customHeight="1" thickBot="1" x14ac:dyDescent="0.35">
      <c r="BI83" s="77" t="s">
        <v>673</v>
      </c>
      <c r="BJ83" s="527">
        <f>BZ65</f>
        <v>432109293620788.75</v>
      </c>
      <c r="BK83" s="76" t="s">
        <v>674</v>
      </c>
      <c r="BX83" s="76"/>
    </row>
    <row r="84" spans="34:76" ht="16.2" thickTop="1" x14ac:dyDescent="0.3">
      <c r="AH84" s="690"/>
      <c r="AX84" s="38"/>
      <c r="AY84" s="282"/>
      <c r="BF84" s="38"/>
      <c r="BG84" s="282"/>
      <c r="BI84" s="77"/>
      <c r="BN84" s="38"/>
      <c r="BO84" s="282"/>
      <c r="BP84" s="310" t="s">
        <v>672</v>
      </c>
      <c r="BQ84" s="1" t="s">
        <v>576</v>
      </c>
      <c r="BR84" s="690">
        <f>BZ70</f>
        <v>500933101358666.81</v>
      </c>
      <c r="BV84" s="1" t="s">
        <v>680</v>
      </c>
      <c r="BX84" s="76"/>
    </row>
    <row r="85" spans="34:76" ht="13.95" customHeight="1" x14ac:dyDescent="0.3">
      <c r="AY85" s="247"/>
      <c r="BG85" s="247"/>
      <c r="BI85" s="319">
        <f>BQ85</f>
        <v>0.03</v>
      </c>
      <c r="BJ85" s="331">
        <f>BJ87-BJ88</f>
        <v>0.66757797083963322</v>
      </c>
      <c r="BK85" s="206" t="s">
        <v>677</v>
      </c>
      <c r="BL85" s="76"/>
      <c r="BM85" s="76"/>
      <c r="BN85" s="76"/>
      <c r="BO85" s="77"/>
      <c r="BP85" s="323" t="s">
        <v>671</v>
      </c>
      <c r="BQ85" s="319">
        <v>0.03</v>
      </c>
      <c r="BR85" s="335" t="s">
        <v>669</v>
      </c>
      <c r="BS85" s="76"/>
      <c r="BT85" s="76"/>
      <c r="BU85" s="76"/>
      <c r="BV85" s="334" t="s">
        <v>681</v>
      </c>
      <c r="BW85" s="76"/>
      <c r="BX85" s="76"/>
    </row>
    <row r="86" spans="34:76" ht="13.95" customHeight="1" x14ac:dyDescent="0.3">
      <c r="AX86" s="38"/>
      <c r="AY86" s="299"/>
      <c r="BF86" s="38"/>
      <c r="BG86" s="299"/>
      <c r="BO86" s="247"/>
      <c r="BQ86" s="1" t="s">
        <v>678</v>
      </c>
    </row>
    <row r="87" spans="34:76" ht="13.95" customHeight="1" x14ac:dyDescent="0.3">
      <c r="AY87" s="299"/>
      <c r="BG87" s="299"/>
      <c r="BJ87" s="320">
        <f>BJ81/BJ83</f>
        <v>1.6675779708396332</v>
      </c>
      <c r="BO87" s="247"/>
      <c r="BR87" s="18"/>
    </row>
    <row r="88" spans="34:76" ht="13.95" customHeight="1" x14ac:dyDescent="0.3">
      <c r="AY88" s="247"/>
      <c r="BG88" s="247"/>
      <c r="BJ88" s="321">
        <v>1</v>
      </c>
      <c r="BO88" s="247"/>
    </row>
    <row r="89" spans="34:76" ht="13.95" customHeight="1" x14ac:dyDescent="0.3">
      <c r="AY89" s="247"/>
      <c r="BG89" s="247"/>
      <c r="BO89" s="247"/>
      <c r="BR89" s="32"/>
    </row>
    <row r="90" spans="34:76" ht="13.95" customHeight="1" x14ac:dyDescent="0.3">
      <c r="AY90" s="247"/>
      <c r="BG90" s="299"/>
      <c r="BO90" s="247"/>
      <c r="BR90" s="18"/>
    </row>
    <row r="91" spans="34:76" ht="13.95" customHeight="1" x14ac:dyDescent="0.3">
      <c r="AY91" s="247"/>
      <c r="BG91" s="247"/>
      <c r="BO91" s="247"/>
    </row>
    <row r="92" spans="34:76" ht="13.95" customHeight="1" x14ac:dyDescent="0.3"/>
    <row r="93" spans="34:76" ht="13.95" customHeight="1" x14ac:dyDescent="0.3">
      <c r="BA93" s="300"/>
      <c r="BB93" s="18"/>
      <c r="BC93" s="690"/>
      <c r="BE93" s="18"/>
      <c r="BF93" s="690"/>
    </row>
    <row r="94" spans="34:76" ht="13.95" customHeight="1" x14ac:dyDescent="0.3">
      <c r="AZ94" s="690"/>
      <c r="BA94" s="690"/>
      <c r="BB94" s="18"/>
      <c r="BC94" s="690"/>
      <c r="BE94" s="18"/>
      <c r="BF94" s="690"/>
    </row>
    <row r="95" spans="34:76" ht="13.95" customHeight="1" x14ac:dyDescent="0.3">
      <c r="AZ95" s="690"/>
      <c r="BA95" s="690"/>
      <c r="BB95" s="18"/>
      <c r="BC95" s="690"/>
      <c r="BE95" s="18"/>
      <c r="BF95" s="690"/>
    </row>
    <row r="96" spans="34:76" ht="13.95" customHeight="1" x14ac:dyDescent="0.3">
      <c r="AZ96" s="690"/>
      <c r="BA96" s="690"/>
      <c r="BB96" s="18"/>
      <c r="BC96" s="690"/>
      <c r="BE96" s="18"/>
      <c r="BF96" s="690"/>
    </row>
    <row r="97" spans="52:58" ht="13.95" customHeight="1" x14ac:dyDescent="0.3">
      <c r="AZ97" s="690"/>
      <c r="BA97" s="690"/>
      <c r="BB97" s="18"/>
      <c r="BC97" s="690"/>
      <c r="BE97" s="18"/>
      <c r="BF97" s="690"/>
    </row>
    <row r="98" spans="52:58" ht="13.95" customHeight="1" x14ac:dyDescent="0.3">
      <c r="AZ98" s="690"/>
      <c r="BA98" s="690"/>
      <c r="BB98" s="18"/>
      <c r="BC98" s="690"/>
      <c r="BE98" s="18"/>
      <c r="BF98" s="690"/>
    </row>
    <row r="99" spans="52:58" ht="13.95" customHeight="1" x14ac:dyDescent="0.3">
      <c r="AZ99" s="690"/>
      <c r="BA99" s="690"/>
      <c r="BB99" s="18"/>
      <c r="BC99" s="690"/>
      <c r="BE99" s="18"/>
      <c r="BF99" s="690"/>
    </row>
    <row r="100" spans="52:58" ht="13.95" customHeight="1" x14ac:dyDescent="0.3">
      <c r="AZ100" s="690"/>
      <c r="BA100" s="690"/>
      <c r="BB100" s="18"/>
      <c r="BC100" s="690"/>
      <c r="BE100" s="18"/>
      <c r="BF100" s="690"/>
    </row>
    <row r="101" spans="52:58" ht="13.95" customHeight="1" x14ac:dyDescent="0.3">
      <c r="AZ101" s="690"/>
      <c r="BA101" s="690"/>
      <c r="BB101" s="18"/>
      <c r="BC101" s="690"/>
      <c r="BE101" s="18"/>
      <c r="BF101" s="690"/>
    </row>
    <row r="102" spans="52:58" ht="13.95" customHeight="1" x14ac:dyDescent="0.3">
      <c r="AZ102" s="690"/>
      <c r="BA102" s="690"/>
      <c r="BB102" s="18"/>
      <c r="BC102" s="690"/>
      <c r="BE102" s="18"/>
      <c r="BF102" s="690"/>
    </row>
    <row r="103" spans="52:58" ht="13.95" customHeight="1" x14ac:dyDescent="0.3">
      <c r="AZ103" s="690"/>
      <c r="BA103" s="690"/>
      <c r="BB103" s="18"/>
      <c r="BC103" s="690"/>
      <c r="BE103" s="18"/>
      <c r="BF103" s="690"/>
    </row>
    <row r="104" spans="52:58" ht="13.95" customHeight="1" x14ac:dyDescent="0.3">
      <c r="AZ104" s="690"/>
      <c r="BA104" s="690"/>
      <c r="BB104" s="18"/>
      <c r="BC104" s="690"/>
      <c r="BE104" s="18"/>
      <c r="BF104" s="690"/>
    </row>
    <row r="105" spans="52:58" ht="13.95" customHeight="1" x14ac:dyDescent="0.3">
      <c r="AZ105" s="690"/>
      <c r="BA105" s="690"/>
      <c r="BB105" s="18"/>
      <c r="BC105" s="690"/>
      <c r="BE105" s="18"/>
      <c r="BF105" s="690"/>
    </row>
    <row r="106" spans="52:58" ht="13.95" customHeight="1" x14ac:dyDescent="0.3">
      <c r="AZ106" s="690"/>
      <c r="BA106" s="690"/>
      <c r="BB106" s="18"/>
      <c r="BC106" s="690"/>
      <c r="BE106" s="18"/>
      <c r="BF106" s="690"/>
    </row>
    <row r="107" spans="52:58" ht="13.95" customHeight="1" x14ac:dyDescent="0.3">
      <c r="AZ107" s="690"/>
      <c r="BA107" s="690"/>
      <c r="BB107" s="18"/>
      <c r="BC107" s="690"/>
      <c r="BE107" s="18"/>
      <c r="BF107" s="690"/>
    </row>
    <row r="108" spans="52:58" ht="13.95" customHeight="1" x14ac:dyDescent="0.3">
      <c r="AZ108" s="690"/>
      <c r="BA108" s="690"/>
      <c r="BB108" s="18"/>
      <c r="BC108" s="690"/>
      <c r="BE108" s="18"/>
      <c r="BF108" s="690"/>
    </row>
    <row r="109" spans="52:58" ht="13.95" customHeight="1" x14ac:dyDescent="0.3">
      <c r="AZ109" s="690"/>
      <c r="BA109" s="690"/>
      <c r="BB109" s="18"/>
      <c r="BC109" s="690"/>
      <c r="BE109" s="18"/>
      <c r="BF109" s="690"/>
    </row>
    <row r="110" spans="52:58" ht="13.95" customHeight="1" x14ac:dyDescent="0.3">
      <c r="AZ110" s="690"/>
      <c r="BA110" s="690"/>
      <c r="BB110" s="18"/>
      <c r="BC110" s="690"/>
      <c r="BE110" s="18"/>
      <c r="BF110" s="690"/>
    </row>
    <row r="111" spans="52:58" ht="13.95" customHeight="1" x14ac:dyDescent="0.3">
      <c r="AZ111" s="690"/>
      <c r="BA111" s="690"/>
      <c r="BB111" s="18"/>
      <c r="BC111" s="690"/>
      <c r="BE111" s="18"/>
      <c r="BF111" s="690"/>
    </row>
    <row r="112" spans="52:58" ht="13.95" customHeight="1" x14ac:dyDescent="0.3">
      <c r="AZ112" s="690"/>
      <c r="BA112" s="690"/>
      <c r="BB112" s="18"/>
      <c r="BC112" s="690"/>
      <c r="BE112" s="18"/>
      <c r="BF112" s="690"/>
    </row>
    <row r="113" spans="52:58" ht="13.95" customHeight="1" x14ac:dyDescent="0.3">
      <c r="AZ113" s="690"/>
      <c r="BA113" s="690"/>
      <c r="BB113" s="18"/>
      <c r="BC113" s="690"/>
      <c r="BE113" s="18"/>
      <c r="BF113" s="690"/>
    </row>
    <row r="114" spans="52:58" ht="13.95" customHeight="1" x14ac:dyDescent="0.3">
      <c r="AZ114" s="690"/>
      <c r="BA114" s="690"/>
      <c r="BB114" s="18"/>
      <c r="BC114" s="690"/>
      <c r="BE114" s="18"/>
      <c r="BF114" s="690"/>
    </row>
    <row r="115" spans="52:58" ht="13.95" customHeight="1" x14ac:dyDescent="0.3">
      <c r="AZ115" s="690"/>
      <c r="BA115" s="690"/>
      <c r="BB115" s="18"/>
      <c r="BC115" s="690"/>
      <c r="BE115" s="18"/>
      <c r="BF115" s="690"/>
    </row>
    <row r="116" spans="52:58" ht="13.95" customHeight="1" x14ac:dyDescent="0.3">
      <c r="AZ116" s="690"/>
      <c r="BA116" s="690"/>
      <c r="BB116" s="18"/>
      <c r="BC116" s="690"/>
      <c r="BE116" s="18"/>
      <c r="BF116" s="690"/>
    </row>
    <row r="117" spans="52:58" ht="13.95" customHeight="1" x14ac:dyDescent="0.3">
      <c r="AZ117" s="690"/>
      <c r="BA117" s="690"/>
      <c r="BB117" s="18"/>
      <c r="BC117" s="690"/>
      <c r="BE117" s="18"/>
      <c r="BF117" s="690"/>
    </row>
    <row r="118" spans="52:58" ht="13.95" customHeight="1" x14ac:dyDescent="0.3">
      <c r="AZ118" s="690"/>
      <c r="BA118" s="690"/>
      <c r="BB118" s="18"/>
      <c r="BC118" s="690"/>
      <c r="BE118" s="18"/>
      <c r="BF118" s="690"/>
    </row>
    <row r="119" spans="52:58" ht="13.95" customHeight="1" x14ac:dyDescent="0.3">
      <c r="AZ119" s="690"/>
      <c r="BA119" s="690"/>
      <c r="BB119" s="18"/>
      <c r="BC119" s="690"/>
      <c r="BE119" s="18"/>
      <c r="BF119" s="690"/>
    </row>
    <row r="120" spans="52:58" ht="13.95" customHeight="1" x14ac:dyDescent="0.3">
      <c r="AZ120" s="690"/>
      <c r="BA120" s="690"/>
      <c r="BB120" s="18"/>
      <c r="BC120" s="690"/>
      <c r="BE120" s="18"/>
      <c r="BF120" s="690"/>
    </row>
    <row r="121" spans="52:58" ht="13.95" customHeight="1" x14ac:dyDescent="0.3">
      <c r="AZ121" s="690"/>
      <c r="BA121" s="690"/>
      <c r="BB121" s="18"/>
      <c r="BC121" s="690"/>
      <c r="BE121" s="18"/>
      <c r="BF121" s="690"/>
    </row>
    <row r="122" spans="52:58" ht="13.95" customHeight="1" x14ac:dyDescent="0.3">
      <c r="AZ122" s="690"/>
      <c r="BA122" s="690"/>
      <c r="BB122" s="18"/>
      <c r="BC122" s="690"/>
      <c r="BE122" s="18"/>
      <c r="BF122" s="690"/>
    </row>
    <row r="123" spans="52:58" ht="13.95" customHeight="1" x14ac:dyDescent="0.3">
      <c r="AZ123" s="690"/>
      <c r="BA123" s="690"/>
      <c r="BB123" s="18"/>
      <c r="BC123" s="690"/>
      <c r="BE123" s="18"/>
      <c r="BF123" s="690"/>
    </row>
    <row r="124" spans="52:58" ht="13.95" customHeight="1" x14ac:dyDescent="0.3">
      <c r="AZ124" s="690"/>
      <c r="BA124" s="690"/>
      <c r="BB124" s="18"/>
      <c r="BC124" s="690"/>
      <c r="BE124" s="18"/>
      <c r="BF124" s="690"/>
    </row>
    <row r="125" spans="52:58" ht="13.95" customHeight="1" x14ac:dyDescent="0.3">
      <c r="AZ125" s="690"/>
      <c r="BA125" s="690"/>
      <c r="BB125" s="18"/>
      <c r="BC125" s="690"/>
      <c r="BE125" s="18"/>
      <c r="BF125" s="690"/>
    </row>
    <row r="126" spans="52:58" ht="13.95" customHeight="1" x14ac:dyDescent="0.3">
      <c r="AZ126" s="690"/>
      <c r="BA126" s="690"/>
      <c r="BB126" s="18"/>
      <c r="BC126" s="690"/>
      <c r="BE126" s="18"/>
      <c r="BF126" s="690"/>
    </row>
    <row r="127" spans="52:58" ht="13.95" customHeight="1" x14ac:dyDescent="0.3">
      <c r="AZ127" s="690"/>
      <c r="BA127" s="690"/>
      <c r="BB127" s="18"/>
      <c r="BC127" s="690"/>
      <c r="BE127" s="18"/>
      <c r="BF127" s="690"/>
    </row>
    <row r="128" spans="52:58" ht="13.95" customHeight="1" x14ac:dyDescent="0.3">
      <c r="AZ128" s="690"/>
      <c r="BA128" s="690"/>
      <c r="BB128" s="18"/>
      <c r="BC128" s="690"/>
      <c r="BE128" s="18"/>
      <c r="BF128" s="690"/>
    </row>
    <row r="129" spans="52:58" ht="13.95" customHeight="1" x14ac:dyDescent="0.3">
      <c r="AZ129" s="690"/>
      <c r="BA129" s="690"/>
      <c r="BB129" s="18"/>
      <c r="BC129" s="690"/>
      <c r="BE129" s="18"/>
      <c r="BF129" s="690"/>
    </row>
    <row r="130" spans="52:58" ht="13.95" customHeight="1" x14ac:dyDescent="0.3">
      <c r="AZ130" s="690"/>
      <c r="BA130" s="690"/>
      <c r="BB130" s="18"/>
      <c r="BC130" s="690"/>
      <c r="BE130" s="18"/>
      <c r="BF130" s="690"/>
    </row>
    <row r="131" spans="52:58" ht="13.95" customHeight="1" x14ac:dyDescent="0.3">
      <c r="AZ131" s="690"/>
      <c r="BA131" s="690"/>
      <c r="BB131" s="18"/>
      <c r="BC131" s="690"/>
      <c r="BE131" s="18"/>
      <c r="BF131" s="690"/>
    </row>
    <row r="132" spans="52:58" ht="13.95" customHeight="1" x14ac:dyDescent="0.3">
      <c r="AZ132" s="690"/>
      <c r="BA132" s="690"/>
      <c r="BB132" s="18"/>
      <c r="BC132" s="690"/>
      <c r="BE132" s="18"/>
      <c r="BF132" s="690"/>
    </row>
    <row r="133" spans="52:58" ht="13.95" customHeight="1" x14ac:dyDescent="0.3">
      <c r="AZ133" s="690"/>
      <c r="BA133" s="690"/>
      <c r="BB133" s="18"/>
      <c r="BC133" s="690"/>
      <c r="BE133" s="18"/>
      <c r="BF133" s="690"/>
    </row>
    <row r="134" spans="52:58" ht="13.95" customHeight="1" x14ac:dyDescent="0.3">
      <c r="AZ134" s="690"/>
      <c r="BA134" s="690"/>
      <c r="BB134" s="18"/>
      <c r="BC134" s="690"/>
      <c r="BE134" s="18"/>
      <c r="BF134" s="690"/>
    </row>
    <row r="135" spans="52:58" ht="13.95" customHeight="1" x14ac:dyDescent="0.3">
      <c r="AZ135" s="690"/>
      <c r="BA135" s="690"/>
      <c r="BB135" s="18"/>
      <c r="BC135" s="690"/>
      <c r="BE135" s="18"/>
      <c r="BF135" s="690"/>
    </row>
    <row r="136" spans="52:58" ht="13.95" customHeight="1" x14ac:dyDescent="0.3">
      <c r="AZ136" s="690"/>
      <c r="BA136" s="690"/>
      <c r="BB136" s="18"/>
      <c r="BC136" s="690"/>
      <c r="BE136" s="18"/>
      <c r="BF136" s="690"/>
    </row>
    <row r="137" spans="52:58" ht="13.95" customHeight="1" x14ac:dyDescent="0.3">
      <c r="AZ137" s="690"/>
      <c r="BA137" s="690"/>
      <c r="BB137" s="18"/>
      <c r="BC137" s="690"/>
      <c r="BE137" s="18"/>
      <c r="BF137" s="690"/>
    </row>
    <row r="138" spans="52:58" ht="13.95" customHeight="1" x14ac:dyDescent="0.3">
      <c r="AZ138" s="690"/>
      <c r="BA138" s="690"/>
      <c r="BB138" s="18"/>
      <c r="BC138" s="690"/>
      <c r="BE138" s="18"/>
      <c r="BF138" s="690"/>
    </row>
    <row r="139" spans="52:58" ht="13.95" customHeight="1" x14ac:dyDescent="0.3">
      <c r="AZ139" s="690"/>
      <c r="BA139" s="690"/>
      <c r="BB139" s="18"/>
      <c r="BC139" s="690"/>
      <c r="BE139" s="18"/>
      <c r="BF139" s="690"/>
    </row>
    <row r="140" spans="52:58" ht="13.95" customHeight="1" x14ac:dyDescent="0.3">
      <c r="AZ140" s="690"/>
      <c r="BA140" s="690"/>
      <c r="BB140" s="18"/>
      <c r="BC140" s="690"/>
      <c r="BE140" s="18"/>
      <c r="BF140" s="690"/>
    </row>
    <row r="141" spans="52:58" ht="13.95" customHeight="1" x14ac:dyDescent="0.3">
      <c r="AZ141" s="690"/>
      <c r="BA141" s="690"/>
      <c r="BB141" s="18"/>
      <c r="BC141" s="690"/>
      <c r="BE141" s="18"/>
      <c r="BF141" s="690"/>
    </row>
    <row r="142" spans="52:58" ht="13.95" customHeight="1" x14ac:dyDescent="0.3">
      <c r="AZ142" s="690"/>
      <c r="BA142" s="690"/>
      <c r="BB142" s="18"/>
      <c r="BC142" s="690"/>
      <c r="BE142" s="18"/>
      <c r="BF142" s="690"/>
    </row>
    <row r="143" spans="52:58" ht="13.95" customHeight="1" x14ac:dyDescent="0.3">
      <c r="AZ143" s="690"/>
      <c r="BA143" s="690"/>
      <c r="BB143" s="18"/>
      <c r="BC143" s="690"/>
      <c r="BE143" s="18"/>
      <c r="BF143" s="690"/>
    </row>
    <row r="144" spans="52:58" ht="13.95" customHeight="1" x14ac:dyDescent="0.3">
      <c r="AZ144" s="690"/>
      <c r="BA144" s="690"/>
      <c r="BB144" s="18"/>
      <c r="BC144" s="690"/>
      <c r="BE144" s="18"/>
      <c r="BF144" s="690"/>
    </row>
    <row r="145" spans="52:58" ht="13.95" customHeight="1" x14ac:dyDescent="0.3">
      <c r="AZ145" s="690"/>
      <c r="BA145" s="690"/>
      <c r="BB145" s="18"/>
      <c r="BC145" s="690"/>
      <c r="BE145" s="18"/>
      <c r="BF145" s="690"/>
    </row>
    <row r="146" spans="52:58" ht="13.95" customHeight="1" x14ac:dyDescent="0.3">
      <c r="AZ146" s="690"/>
      <c r="BA146" s="690"/>
      <c r="BB146" s="18"/>
      <c r="BC146" s="690"/>
      <c r="BE146" s="18"/>
      <c r="BF146" s="690"/>
    </row>
    <row r="147" spans="52:58" ht="13.95" customHeight="1" x14ac:dyDescent="0.3">
      <c r="AZ147" s="690"/>
      <c r="BA147" s="690"/>
      <c r="BB147" s="18"/>
      <c r="BC147" s="690"/>
      <c r="BE147" s="18"/>
      <c r="BF147" s="690"/>
    </row>
    <row r="148" spans="52:58" ht="13.95" customHeight="1" x14ac:dyDescent="0.3">
      <c r="AZ148" s="690"/>
      <c r="BA148" s="690"/>
      <c r="BB148" s="18"/>
      <c r="BC148" s="690"/>
      <c r="BE148" s="18"/>
      <c r="BF148" s="690"/>
    </row>
    <row r="149" spans="52:58" ht="13.95" customHeight="1" x14ac:dyDescent="0.3">
      <c r="AZ149" s="690"/>
      <c r="BA149" s="690"/>
      <c r="BB149" s="18"/>
      <c r="BC149" s="690"/>
      <c r="BE149" s="18"/>
      <c r="BF149" s="690"/>
    </row>
    <row r="150" spans="52:58" ht="13.95" customHeight="1" x14ac:dyDescent="0.3">
      <c r="AZ150" s="690"/>
      <c r="BA150" s="690"/>
      <c r="BB150" s="18"/>
      <c r="BC150" s="690"/>
      <c r="BE150" s="18"/>
      <c r="BF150" s="690"/>
    </row>
    <row r="151" spans="52:58" ht="13.95" customHeight="1" x14ac:dyDescent="0.3">
      <c r="AZ151" s="690"/>
      <c r="BA151" s="690"/>
      <c r="BB151" s="18"/>
      <c r="BC151" s="690"/>
      <c r="BE151" s="18"/>
      <c r="BF151" s="690"/>
    </row>
    <row r="152" spans="52:58" ht="13.95" customHeight="1" x14ac:dyDescent="0.3">
      <c r="AZ152" s="690"/>
      <c r="BA152" s="690"/>
      <c r="BB152" s="18"/>
      <c r="BC152" s="690"/>
      <c r="BE152" s="18"/>
      <c r="BF152" s="345"/>
    </row>
    <row r="153" spans="52:58" ht="13.95" customHeight="1" x14ac:dyDescent="0.3">
      <c r="AZ153" s="690"/>
      <c r="BA153" s="690"/>
      <c r="BB153" s="18"/>
      <c r="BC153" s="690"/>
      <c r="BE153" s="18"/>
      <c r="BF153" s="690"/>
    </row>
    <row r="154" spans="52:58" ht="13.95" customHeight="1" x14ac:dyDescent="0.3">
      <c r="AZ154" s="690"/>
      <c r="BA154" s="690"/>
      <c r="BB154" s="18"/>
      <c r="BC154" s="690"/>
      <c r="BE154" s="18"/>
      <c r="BF154" s="690"/>
    </row>
    <row r="155" spans="52:58" ht="13.95" customHeight="1" x14ac:dyDescent="0.3">
      <c r="AZ155" s="690"/>
      <c r="BA155" s="690"/>
      <c r="BB155" s="18"/>
      <c r="BC155" s="690"/>
      <c r="BE155" s="18"/>
      <c r="BF155" s="690"/>
    </row>
    <row r="156" spans="52:58" ht="13.95" customHeight="1" x14ac:dyDescent="0.3">
      <c r="AZ156" s="690"/>
      <c r="BA156" s="690"/>
      <c r="BB156" s="18"/>
      <c r="BC156" s="690"/>
      <c r="BE156" s="18"/>
      <c r="BF156" s="690"/>
    </row>
    <row r="157" spans="52:58" ht="13.95" customHeight="1" x14ac:dyDescent="0.3">
      <c r="AZ157" s="690"/>
      <c r="BA157" s="690"/>
      <c r="BB157" s="18"/>
      <c r="BC157" s="690"/>
      <c r="BE157" s="18"/>
      <c r="BF157" s="690"/>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CCAD-0C14-4635-823E-C844548B50DA}">
  <dimension ref="A2:BY106"/>
  <sheetViews>
    <sheetView showGridLines="0" topLeftCell="AL31" workbookViewId="0">
      <selection activeCell="AN33" sqref="AN33"/>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2" customWidth="1"/>
    <col min="75" max="75" width="8.88671875" style="12"/>
    <col min="76" max="76" width="8.88671875" style="1"/>
    <col min="77" max="77" width="17.44140625" style="1" bestFit="1" customWidth="1"/>
    <col min="78" max="16384" width="8.88671875" style="1"/>
  </cols>
  <sheetData>
    <row r="2" spans="1:75"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G2" s="916"/>
      <c r="BK2" s="916"/>
      <c r="BV2" s="917"/>
      <c r="BW2" s="916"/>
    </row>
    <row r="3" spans="1:75" ht="25.95" customHeight="1" x14ac:dyDescent="0.5">
      <c r="C3" s="570" t="s">
        <v>1446</v>
      </c>
      <c r="F3" s="1081"/>
      <c r="G3" s="648"/>
      <c r="AN3" s="999" t="s">
        <v>1355</v>
      </c>
    </row>
    <row r="4" spans="1:75"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row>
    <row r="5" spans="1:75" ht="18.600000000000001" x14ac:dyDescent="0.45">
      <c r="C5" s="37" t="s">
        <v>972</v>
      </c>
      <c r="D5" s="619"/>
      <c r="E5" s="408">
        <f>E11</f>
        <v>2748779069.4400001</v>
      </c>
      <c r="F5" s="1082">
        <v>1</v>
      </c>
      <c r="G5" s="408">
        <f>E5*F5</f>
        <v>2748779069.4400001</v>
      </c>
      <c r="H5" s="409">
        <v>0.9</v>
      </c>
      <c r="I5" s="408">
        <f>G5*H5</f>
        <v>2473901162.4960003</v>
      </c>
      <c r="J5" s="409">
        <v>0.95</v>
      </c>
      <c r="K5" s="408">
        <f>I5*J5</f>
        <v>2350206104.3712001</v>
      </c>
      <c r="L5" s="409">
        <f>H5</f>
        <v>0.9</v>
      </c>
      <c r="M5" s="408">
        <f>K5*L5</f>
        <v>2115185493.9340801</v>
      </c>
      <c r="N5" s="409">
        <f>J5</f>
        <v>0.95</v>
      </c>
      <c r="O5" s="408">
        <f>M5*N5</f>
        <v>2009426219.237376</v>
      </c>
      <c r="P5" s="409">
        <f>L5</f>
        <v>0.9</v>
      </c>
      <c r="Q5" s="408">
        <f>O5*P5</f>
        <v>1808483597.3136384</v>
      </c>
      <c r="R5" s="409">
        <f>N5</f>
        <v>0.95</v>
      </c>
      <c r="S5" s="408">
        <f>Q5*R5</f>
        <v>1718059417.4479566</v>
      </c>
      <c r="T5" s="409">
        <f>P5</f>
        <v>0.9</v>
      </c>
      <c r="U5" s="408">
        <f>S5*T5</f>
        <v>1546253475.703161</v>
      </c>
      <c r="V5" s="409">
        <f>R5</f>
        <v>0.95</v>
      </c>
      <c r="W5" s="408">
        <f>U5*V5</f>
        <v>1468940801.9180028</v>
      </c>
      <c r="X5" s="409">
        <f>T5</f>
        <v>0.9</v>
      </c>
      <c r="Y5" s="408">
        <f>W5*X5</f>
        <v>1322046721.7262025</v>
      </c>
      <c r="Z5" s="409">
        <f>V5</f>
        <v>0.95</v>
      </c>
      <c r="AA5" s="408">
        <f>Y5*Z5</f>
        <v>1255944385.6398923</v>
      </c>
      <c r="AB5" s="409">
        <f>X5</f>
        <v>0.9</v>
      </c>
      <c r="AC5" s="408">
        <f>AA5*AB5</f>
        <v>1130349947.0759032</v>
      </c>
      <c r="AD5" s="409">
        <f>Z5</f>
        <v>0.95</v>
      </c>
      <c r="AE5" s="408">
        <f>AC5*AD5</f>
        <v>1073832449.7221079</v>
      </c>
      <c r="AF5" s="409">
        <f>AB5</f>
        <v>0.9</v>
      </c>
      <c r="AG5" s="408">
        <f>AE5*AF5</f>
        <v>966449204.74989712</v>
      </c>
      <c r="AH5" s="409">
        <f>AD5</f>
        <v>0.95</v>
      </c>
      <c r="AI5" s="408">
        <f>AG5*AH5</f>
        <v>918126744.51240218</v>
      </c>
      <c r="AJ5" s="409">
        <f>AF5</f>
        <v>0.9</v>
      </c>
      <c r="AK5" s="408">
        <f>AI5*AJ5</f>
        <v>826314070.06116199</v>
      </c>
      <c r="AL5" s="409">
        <f>AH5</f>
        <v>0.95</v>
      </c>
      <c r="AM5" s="408">
        <f>AK5*AL5</f>
        <v>784998366.5581038</v>
      </c>
      <c r="AN5" s="620">
        <f>G5+I5+M5+Q5+U5+Y5+AC5+AG5+AK5</f>
        <v>14937762742.500046</v>
      </c>
      <c r="AP5" s="621">
        <f>AJ5</f>
        <v>0.9</v>
      </c>
      <c r="AQ5" s="622">
        <f>AM5*AP5</f>
        <v>706498529.90229344</v>
      </c>
      <c r="AR5" s="626"/>
      <c r="AS5" s="626"/>
      <c r="AT5" s="627"/>
    </row>
    <row r="6" spans="1:75" x14ac:dyDescent="0.3">
      <c r="F6" s="1081"/>
      <c r="AN6" s="93"/>
      <c r="AT6" s="628"/>
    </row>
    <row r="7" spans="1:75" x14ac:dyDescent="0.3">
      <c r="B7" s="583"/>
      <c r="C7" s="4"/>
      <c r="D7" s="4"/>
      <c r="E7" s="120" t="s">
        <v>900</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462" t="s">
        <v>749</v>
      </c>
      <c r="AG7" s="170" t="s">
        <v>1379</v>
      </c>
      <c r="AH7" s="175" t="s">
        <v>297</v>
      </c>
      <c r="AI7" s="170" t="s">
        <v>59</v>
      </c>
      <c r="AJ7" s="301" t="s">
        <v>749</v>
      </c>
      <c r="AK7" s="121" t="s">
        <v>1380</v>
      </c>
      <c r="AL7" s="173" t="s">
        <v>297</v>
      </c>
      <c r="AM7" s="121" t="s">
        <v>59</v>
      </c>
      <c r="AN7" s="121" t="s">
        <v>1381</v>
      </c>
      <c r="AP7" s="588" t="s">
        <v>1367</v>
      </c>
      <c r="AQ7" s="121" t="s">
        <v>1372</v>
      </c>
      <c r="AT7" s="628"/>
    </row>
    <row r="8" spans="1:75" x14ac:dyDescent="0.3">
      <c r="B8" s="584"/>
      <c r="C8" s="7"/>
      <c r="E8" s="123">
        <f>'POP Dimensions'!J15</f>
        <v>21474836.48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586" t="s">
        <v>1371</v>
      </c>
      <c r="AG8" s="470"/>
      <c r="AH8" s="471"/>
      <c r="AI8" s="470"/>
      <c r="AJ8" s="587" t="s">
        <v>1371</v>
      </c>
      <c r="AK8" s="303"/>
      <c r="AL8" s="179"/>
      <c r="AM8" s="303"/>
      <c r="AN8" s="126"/>
      <c r="AP8" s="589" t="s">
        <v>1371</v>
      </c>
      <c r="AQ8" s="303"/>
      <c r="AT8" s="628"/>
    </row>
    <row r="9" spans="1:75" ht="16.2" thickBot="1" x14ac:dyDescent="0.35">
      <c r="B9" s="585" t="s">
        <v>943</v>
      </c>
      <c r="C9" s="1078">
        <v>8</v>
      </c>
      <c r="D9" s="630" t="s">
        <v>954</v>
      </c>
      <c r="E9" s="631">
        <f>E8</f>
        <v>21474836.48</v>
      </c>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122"/>
      <c r="AK9" s="459" t="s">
        <v>282</v>
      </c>
      <c r="AL9" s="122"/>
      <c r="AM9" s="8"/>
      <c r="AN9" s="126"/>
      <c r="AP9" s="122"/>
      <c r="AQ9" s="459" t="s">
        <v>282</v>
      </c>
      <c r="AT9" s="628"/>
    </row>
    <row r="10" spans="1:75" ht="16.2" thickBot="1" x14ac:dyDescent="0.35">
      <c r="B10" s="585" t="s">
        <v>944</v>
      </c>
      <c r="C10" s="938" t="s">
        <v>946</v>
      </c>
      <c r="D10" s="630" t="s">
        <v>953</v>
      </c>
      <c r="E10" s="994">
        <f>AO53</f>
        <v>256</v>
      </c>
      <c r="F10" s="1085">
        <v>0.25</v>
      </c>
      <c r="G10" s="130">
        <f>E14*F10</f>
        <v>503316.47999999998</v>
      </c>
      <c r="H10" s="460">
        <v>0.5</v>
      </c>
      <c r="I10" s="130">
        <f>G10*H10</f>
        <v>251658.23999999999</v>
      </c>
      <c r="J10" s="460">
        <v>0.95</v>
      </c>
      <c r="K10" s="458">
        <f>I10*J10</f>
        <v>239075.32799999998</v>
      </c>
      <c r="L10" s="129">
        <f>H10</f>
        <v>0.5</v>
      </c>
      <c r="M10" s="458">
        <f>K10*L10</f>
        <v>119537.66399999999</v>
      </c>
      <c r="N10" s="129">
        <f>J10</f>
        <v>0.95</v>
      </c>
      <c r="O10" s="458">
        <f>M10*N10</f>
        <v>113560.78079999998</v>
      </c>
      <c r="P10" s="129">
        <f>L10</f>
        <v>0.5</v>
      </c>
      <c r="Q10" s="458">
        <f>O10*P10</f>
        <v>56780.390399999989</v>
      </c>
      <c r="R10" s="129">
        <f>N10</f>
        <v>0.95</v>
      </c>
      <c r="S10" s="458">
        <f>Q10*R10</f>
        <v>53941.370879999988</v>
      </c>
      <c r="T10" s="129">
        <f>P10</f>
        <v>0.5</v>
      </c>
      <c r="U10" s="458">
        <f>S10*T10</f>
        <v>26970.685439999994</v>
      </c>
      <c r="V10" s="129">
        <f>R10</f>
        <v>0.95</v>
      </c>
      <c r="W10" s="458">
        <f>U10*V10</f>
        <v>25622.151167999993</v>
      </c>
      <c r="X10" s="129">
        <f>T10</f>
        <v>0.5</v>
      </c>
      <c r="Y10" s="458">
        <f>W10*X10</f>
        <v>12811.075583999997</v>
      </c>
      <c r="Z10" s="129">
        <f>V10</f>
        <v>0.95</v>
      </c>
      <c r="AA10" s="458">
        <f>Y10*Z10</f>
        <v>12170.521804799997</v>
      </c>
      <c r="AB10" s="129">
        <f>X10</f>
        <v>0.5</v>
      </c>
      <c r="AC10" s="458">
        <f>AA10*AB10</f>
        <v>6085.2609023999985</v>
      </c>
      <c r="AD10" s="129">
        <f>Z10</f>
        <v>0.95</v>
      </c>
      <c r="AE10" s="458">
        <f>AC10*AD10</f>
        <v>5780.9978572799982</v>
      </c>
      <c r="AF10" s="129">
        <f>AB10</f>
        <v>0.5</v>
      </c>
      <c r="AG10" s="458">
        <f>AE10*AF10</f>
        <v>2890.4989286399991</v>
      </c>
      <c r="AH10" s="129">
        <f>AD10</f>
        <v>0.95</v>
      </c>
      <c r="AI10" s="458">
        <f>AG10*AH10</f>
        <v>2745.9739822079991</v>
      </c>
      <c r="AJ10" s="129">
        <f>AF10</f>
        <v>0.5</v>
      </c>
      <c r="AK10" s="458">
        <f>AI10*AJ10</f>
        <v>1372.9869911039996</v>
      </c>
      <c r="AL10" s="129">
        <f>AH10</f>
        <v>0.95</v>
      </c>
      <c r="AM10" s="458">
        <f>AK10*AL10</f>
        <v>1304.3376415487996</v>
      </c>
      <c r="AN10" s="161">
        <f>G10+I10+M10+Q10+U10+Y10+AC10+AG10+AK10</f>
        <v>981423.28224614402</v>
      </c>
      <c r="AP10" s="590">
        <f>AJ10</f>
        <v>0.5</v>
      </c>
      <c r="AQ10" s="458">
        <f>AM10*AP10</f>
        <v>652.16882077439982</v>
      </c>
      <c r="AR10" s="623"/>
      <c r="AS10" s="624"/>
      <c r="AT10" s="628"/>
    </row>
    <row r="11" spans="1:75" ht="16.2" thickBot="1" x14ac:dyDescent="0.35">
      <c r="B11" s="585" t="s">
        <v>945</v>
      </c>
      <c r="C11" s="1078">
        <v>2024</v>
      </c>
      <c r="D11" s="630" t="s">
        <v>1291</v>
      </c>
      <c r="E11" s="631">
        <f>'POP Dimensions'!L17</f>
        <v>2748779069.4400001</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122"/>
      <c r="AK11" s="457" t="s">
        <v>283</v>
      </c>
      <c r="AL11" s="122"/>
      <c r="AM11" s="8"/>
      <c r="AN11" s="126"/>
      <c r="AP11" s="122"/>
      <c r="AQ11" s="457" t="s">
        <v>283</v>
      </c>
      <c r="AR11" s="623"/>
      <c r="AS11" s="623"/>
      <c r="AT11" s="628"/>
    </row>
    <row r="12" spans="1:75" ht="16.2" thickBot="1" x14ac:dyDescent="0.35">
      <c r="B12" s="584"/>
      <c r="E12" s="997">
        <f>E9*E10</f>
        <v>5497558138.8800001</v>
      </c>
      <c r="F12" s="1086">
        <v>0.25</v>
      </c>
      <c r="G12" s="135">
        <f>E14*F12</f>
        <v>503316.47999999998</v>
      </c>
      <c r="H12" s="461">
        <v>0.9</v>
      </c>
      <c r="I12" s="135">
        <f>G12*H12</f>
        <v>452984.83199999999</v>
      </c>
      <c r="J12" s="461">
        <v>0.95</v>
      </c>
      <c r="K12" s="440">
        <f>I12*J12</f>
        <v>430335.59039999999</v>
      </c>
      <c r="L12" s="133">
        <f>H12</f>
        <v>0.9</v>
      </c>
      <c r="M12" s="440">
        <f>K12*L12</f>
        <v>387302.03136000002</v>
      </c>
      <c r="N12" s="133">
        <f>J12</f>
        <v>0.95</v>
      </c>
      <c r="O12" s="440">
        <f>M12*N12</f>
        <v>367936.92979199998</v>
      </c>
      <c r="P12" s="133">
        <f>L12</f>
        <v>0.9</v>
      </c>
      <c r="Q12" s="440">
        <f>O12*P12</f>
        <v>331143.23681279999</v>
      </c>
      <c r="R12" s="133">
        <f>N12</f>
        <v>0.95</v>
      </c>
      <c r="S12" s="440">
        <f>Q12*R12</f>
        <v>314586.07497215999</v>
      </c>
      <c r="T12" s="133">
        <f>P12</f>
        <v>0.9</v>
      </c>
      <c r="U12" s="440">
        <f>S12*T12</f>
        <v>283127.46747494402</v>
      </c>
      <c r="V12" s="133">
        <f>R12</f>
        <v>0.95</v>
      </c>
      <c r="W12" s="440">
        <f>U12*V12</f>
        <v>268971.0941011968</v>
      </c>
      <c r="X12" s="133">
        <f>T12</f>
        <v>0.9</v>
      </c>
      <c r="Y12" s="440">
        <f>W12*X12</f>
        <v>242073.98469107712</v>
      </c>
      <c r="Z12" s="133">
        <f>V12</f>
        <v>0.95</v>
      </c>
      <c r="AA12" s="440">
        <f>Y12*Z12</f>
        <v>229970.28545652324</v>
      </c>
      <c r="AB12" s="133">
        <f>X12</f>
        <v>0.9</v>
      </c>
      <c r="AC12" s="440">
        <f>AA12*AB12</f>
        <v>206973.25691087093</v>
      </c>
      <c r="AD12" s="133">
        <f>Z12</f>
        <v>0.95</v>
      </c>
      <c r="AE12" s="440">
        <f>AC12*AD12</f>
        <v>196624.59406532737</v>
      </c>
      <c r="AF12" s="133">
        <f>AB12</f>
        <v>0.9</v>
      </c>
      <c r="AG12" s="440">
        <f>AE12*AF12</f>
        <v>176962.13465879465</v>
      </c>
      <c r="AH12" s="133">
        <f>AD12</f>
        <v>0.95</v>
      </c>
      <c r="AI12" s="440">
        <f>AG12*AH12</f>
        <v>168114.0279258549</v>
      </c>
      <c r="AJ12" s="133">
        <f>AF12</f>
        <v>0.9</v>
      </c>
      <c r="AK12" s="440">
        <f>AI12*AJ12</f>
        <v>151302.62513326941</v>
      </c>
      <c r="AL12" s="133">
        <f>AH12</f>
        <v>0.95</v>
      </c>
      <c r="AM12" s="440">
        <f>AK12*AL12</f>
        <v>143737.49387660593</v>
      </c>
      <c r="AN12" s="161">
        <f>G12+I12+M12+Q12+U12+Y12+AC12+AG12+AK12</f>
        <v>2735186.049041756</v>
      </c>
      <c r="AP12" s="591">
        <f>AJ12</f>
        <v>0.9</v>
      </c>
      <c r="AQ12" s="440">
        <f>AM12*AP12</f>
        <v>129363.74448894535</v>
      </c>
      <c r="AR12" s="623"/>
      <c r="AS12" s="624"/>
      <c r="AT12" s="628"/>
    </row>
    <row r="13" spans="1:75" ht="16.2" thickBot="1" x14ac:dyDescent="0.35">
      <c r="B13" s="613"/>
      <c r="C13" s="7"/>
      <c r="E13" s="997">
        <f>E12/2</f>
        <v>2748779069.4400001</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122"/>
      <c r="AK13" s="451" t="s">
        <v>284</v>
      </c>
      <c r="AL13" s="122"/>
      <c r="AM13" s="8"/>
      <c r="AN13" s="126"/>
      <c r="AP13" s="122"/>
      <c r="AQ13" s="451" t="s">
        <v>284</v>
      </c>
      <c r="AR13" s="623"/>
      <c r="AS13" s="623"/>
      <c r="AT13" s="628"/>
    </row>
    <row r="14" spans="1:75" ht="16.2" thickBot="1" x14ac:dyDescent="0.35">
      <c r="A14" s="162"/>
      <c r="B14" s="162"/>
      <c r="C14" s="137" t="s">
        <v>291</v>
      </c>
      <c r="D14" s="609">
        <f>E14/E8</f>
        <v>9.375E-2</v>
      </c>
      <c r="E14" s="139">
        <f>'UCS™ TWF Ťenders'!F97</f>
        <v>2013265.9199999999</v>
      </c>
      <c r="F14" s="1088">
        <v>0.5</v>
      </c>
      <c r="G14" s="139">
        <f>E14*F14</f>
        <v>1006632.96</v>
      </c>
      <c r="H14" s="463">
        <v>0.9</v>
      </c>
      <c r="I14" s="139">
        <f>G14*H14</f>
        <v>905969.66399999999</v>
      </c>
      <c r="J14" s="463">
        <v>0.95</v>
      </c>
      <c r="K14" s="441">
        <f>I14*J14</f>
        <v>860671.18079999997</v>
      </c>
      <c r="L14" s="140">
        <f>H14</f>
        <v>0.9</v>
      </c>
      <c r="M14" s="441">
        <f>K14*L14</f>
        <v>774604.06272000005</v>
      </c>
      <c r="N14" s="140">
        <f>J14</f>
        <v>0.95</v>
      </c>
      <c r="O14" s="441">
        <f>M14*N14</f>
        <v>735873.85958399996</v>
      </c>
      <c r="P14" s="140">
        <f>L14</f>
        <v>0.9</v>
      </c>
      <c r="Q14" s="441">
        <f>O14*P14</f>
        <v>662286.47362559999</v>
      </c>
      <c r="R14" s="140">
        <f>N14</f>
        <v>0.95</v>
      </c>
      <c r="S14" s="441">
        <f>Q14*R14</f>
        <v>629172.14994431997</v>
      </c>
      <c r="T14" s="140">
        <f>P14</f>
        <v>0.9</v>
      </c>
      <c r="U14" s="441">
        <f>S14*T14</f>
        <v>566254.93494988803</v>
      </c>
      <c r="V14" s="140">
        <f>R14</f>
        <v>0.95</v>
      </c>
      <c r="W14" s="441">
        <f>U14*V14</f>
        <v>537942.18820239359</v>
      </c>
      <c r="X14" s="140">
        <f>T14</f>
        <v>0.9</v>
      </c>
      <c r="Y14" s="441">
        <f>W14*X14</f>
        <v>484147.96938215423</v>
      </c>
      <c r="Z14" s="140">
        <f>V14</f>
        <v>0.95</v>
      </c>
      <c r="AA14" s="441">
        <f>Y14*Z14</f>
        <v>459940.57091304648</v>
      </c>
      <c r="AB14" s="140">
        <f>X14</f>
        <v>0.9</v>
      </c>
      <c r="AC14" s="441">
        <f>AA14*AB14</f>
        <v>413946.51382174186</v>
      </c>
      <c r="AD14" s="140">
        <f>Z14</f>
        <v>0.95</v>
      </c>
      <c r="AE14" s="441">
        <f>AC14*AD14</f>
        <v>393249.18813065474</v>
      </c>
      <c r="AF14" s="140">
        <f>AB14</f>
        <v>0.9</v>
      </c>
      <c r="AG14" s="441">
        <f>AE14*AF14</f>
        <v>353924.26931758929</v>
      </c>
      <c r="AH14" s="140">
        <f>AD14</f>
        <v>0.95</v>
      </c>
      <c r="AI14" s="441">
        <f>AG14*AH14</f>
        <v>336228.0558517098</v>
      </c>
      <c r="AJ14" s="140">
        <f>AF14</f>
        <v>0.9</v>
      </c>
      <c r="AK14" s="441">
        <f>AI14*AJ14</f>
        <v>302605.25026653882</v>
      </c>
      <c r="AL14" s="140">
        <f>AH14</f>
        <v>0.95</v>
      </c>
      <c r="AM14" s="441">
        <f>AK14*AL14</f>
        <v>287474.98775321187</v>
      </c>
      <c r="AN14" s="161">
        <f>G14+I14+M14+Q14+U14+Y14+AC14+AG14+AK14</f>
        <v>5470372.0980835119</v>
      </c>
      <c r="AP14" s="592">
        <f>AJ14</f>
        <v>0.9</v>
      </c>
      <c r="AQ14" s="441">
        <f>AM14*AP14</f>
        <v>258727.48897789069</v>
      </c>
      <c r="AR14" s="623"/>
      <c r="AS14" s="624"/>
      <c r="AT14" s="628"/>
    </row>
    <row r="15" spans="1:75" x14ac:dyDescent="0.3">
      <c r="A15" s="18"/>
      <c r="B15" s="18"/>
      <c r="C15" s="141"/>
      <c r="D15" s="107"/>
      <c r="E15" s="1261">
        <v>5</v>
      </c>
      <c r="F15" s="1089"/>
      <c r="G15" s="9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23"/>
      <c r="AS15" s="623"/>
      <c r="AT15" s="628"/>
    </row>
    <row r="16" spans="1:75" s="88" customFormat="1" ht="16.2" thickBot="1" x14ac:dyDescent="0.35">
      <c r="A16" s="163"/>
      <c r="B16" s="163"/>
      <c r="C16" s="141"/>
      <c r="D16" s="107"/>
      <c r="E16" s="1262">
        <f>E8/E15</f>
        <v>4294967.2960000001</v>
      </c>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455"/>
      <c r="AK16" s="454" t="s">
        <v>744</v>
      </c>
      <c r="AL16" s="141"/>
      <c r="AM16" s="164"/>
      <c r="AN16" s="126"/>
      <c r="AP16" s="455"/>
      <c r="AQ16" s="454" t="s">
        <v>744</v>
      </c>
      <c r="AR16" s="625"/>
      <c r="AS16" s="625"/>
      <c r="AT16" s="628"/>
      <c r="BG16" s="233"/>
      <c r="BK16" s="233"/>
      <c r="BV16" s="345"/>
      <c r="BW16" s="233"/>
    </row>
    <row r="17" spans="1:77" ht="16.2" thickBot="1" x14ac:dyDescent="0.35">
      <c r="A17" s="18"/>
      <c r="B17" s="18"/>
      <c r="C17" s="397" t="s">
        <v>276</v>
      </c>
      <c r="D17" s="614">
        <f>100%-D14-D21</f>
        <v>0.63099980959668756</v>
      </c>
      <c r="E17" s="399">
        <f>E8*D17</f>
        <v>13550617.73</v>
      </c>
      <c r="F17" s="1090">
        <v>1</v>
      </c>
      <c r="G17" s="399">
        <f>E17*F17</f>
        <v>13550617.73</v>
      </c>
      <c r="H17" s="464">
        <v>0.9</v>
      </c>
      <c r="I17" s="399">
        <f>G17*H17</f>
        <v>12195555.957</v>
      </c>
      <c r="J17" s="464">
        <v>0.95</v>
      </c>
      <c r="K17" s="453">
        <f>I17*J17</f>
        <v>11585778.159150001</v>
      </c>
      <c r="L17" s="400">
        <f>H17</f>
        <v>0.9</v>
      </c>
      <c r="M17" s="453">
        <f>K17*L17</f>
        <v>10427200.343235001</v>
      </c>
      <c r="N17" s="400">
        <f>J17</f>
        <v>0.95</v>
      </c>
      <c r="O17" s="453">
        <f>M17*N17</f>
        <v>9905840.3260732498</v>
      </c>
      <c r="P17" s="400">
        <f>L17</f>
        <v>0.9</v>
      </c>
      <c r="Q17" s="453">
        <f>O17*P17</f>
        <v>8915256.2934659254</v>
      </c>
      <c r="R17" s="400">
        <f>N17</f>
        <v>0.95</v>
      </c>
      <c r="S17" s="453">
        <f>Q17*R17</f>
        <v>8469493.4787926283</v>
      </c>
      <c r="T17" s="400">
        <f>P17</f>
        <v>0.9</v>
      </c>
      <c r="U17" s="453">
        <f>S17*T17</f>
        <v>7622544.1309133656</v>
      </c>
      <c r="V17" s="400">
        <f>R17</f>
        <v>0.95</v>
      </c>
      <c r="W17" s="453">
        <f>U17*V17</f>
        <v>7241416.924367697</v>
      </c>
      <c r="X17" s="400">
        <f>T17</f>
        <v>0.9</v>
      </c>
      <c r="Y17" s="453">
        <f>W17*X17</f>
        <v>6517275.2319309274</v>
      </c>
      <c r="Z17" s="400">
        <f>V17</f>
        <v>0.95</v>
      </c>
      <c r="AA17" s="453">
        <f>Y17*Z17</f>
        <v>6191411.4703343809</v>
      </c>
      <c r="AB17" s="400">
        <f>X17</f>
        <v>0.9</v>
      </c>
      <c r="AC17" s="453">
        <f>AA17*AB17</f>
        <v>5572270.3233009428</v>
      </c>
      <c r="AD17" s="400">
        <f>Z17</f>
        <v>0.95</v>
      </c>
      <c r="AE17" s="453">
        <f>AC17*AD17</f>
        <v>5293656.8071358958</v>
      </c>
      <c r="AF17" s="400">
        <f>AB17</f>
        <v>0.9</v>
      </c>
      <c r="AG17" s="453">
        <f>AE17*AF17</f>
        <v>4764291.1264223065</v>
      </c>
      <c r="AH17" s="400">
        <f>AD17</f>
        <v>0.95</v>
      </c>
      <c r="AI17" s="453">
        <f>AG17*AH17</f>
        <v>4526076.5701011913</v>
      </c>
      <c r="AJ17" s="400">
        <f>AF17</f>
        <v>0.9</v>
      </c>
      <c r="AK17" s="453">
        <f>AI17*AJ17</f>
        <v>4073468.9130910723</v>
      </c>
      <c r="AL17" s="400">
        <f>AH17</f>
        <v>0.95</v>
      </c>
      <c r="AM17" s="453">
        <f>AK17*AL17</f>
        <v>3869795.4674365185</v>
      </c>
      <c r="AN17" s="161">
        <f>G17+I17+M17+Q17+U17+Y17+AC17+AG17+AK17</f>
        <v>73638480.049359545</v>
      </c>
      <c r="AP17" s="593">
        <f>AJ17</f>
        <v>0.9</v>
      </c>
      <c r="AQ17" s="453">
        <f>AM17*AP17</f>
        <v>3482815.9206928667</v>
      </c>
      <c r="AR17" s="623"/>
      <c r="AS17" s="624"/>
      <c r="AT17" s="628"/>
      <c r="BJ17" s="974" t="s">
        <v>872</v>
      </c>
      <c r="BL17" s="974" t="s">
        <v>872</v>
      </c>
      <c r="BO17" s="974" t="s">
        <v>872</v>
      </c>
    </row>
    <row r="18" spans="1:77" x14ac:dyDescent="0.3">
      <c r="A18" s="85"/>
      <c r="B18" s="85"/>
      <c r="C18" s="403"/>
      <c r="D18" s="118"/>
      <c r="E18" s="402"/>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23"/>
      <c r="AS18" s="623"/>
      <c r="AT18" s="628"/>
      <c r="BJ18" s="974" t="s">
        <v>5</v>
      </c>
      <c r="BL18" s="974" t="s">
        <v>7</v>
      </c>
      <c r="BO18" s="77" t="s">
        <v>968</v>
      </c>
    </row>
    <row r="19" spans="1:77" x14ac:dyDescent="0.3">
      <c r="A19" s="85"/>
      <c r="B19" s="85"/>
      <c r="C19" s="403"/>
      <c r="D19" s="118"/>
      <c r="E19" s="402"/>
      <c r="F19" s="1081"/>
      <c r="G19" s="87"/>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23"/>
      <c r="AS19" s="623"/>
      <c r="AT19" s="628"/>
      <c r="AW19" s="473"/>
      <c r="AX19" s="473"/>
      <c r="AY19" s="473"/>
      <c r="AZ19" s="473"/>
      <c r="BA19" s="473"/>
      <c r="BB19" s="473"/>
      <c r="BC19" s="473"/>
      <c r="BD19" s="473"/>
      <c r="BE19" s="473"/>
      <c r="BF19" s="473"/>
      <c r="BG19" s="970"/>
      <c r="BH19" s="485"/>
      <c r="BI19" s="485"/>
      <c r="BJ19" s="485" t="s">
        <v>961</v>
      </c>
      <c r="BK19" s="485" t="s">
        <v>967</v>
      </c>
      <c r="BL19" s="485" t="s">
        <v>59</v>
      </c>
      <c r="BM19" s="485" t="s">
        <v>1343</v>
      </c>
      <c r="BN19" s="485" t="s">
        <v>1344</v>
      </c>
      <c r="BO19" s="485"/>
      <c r="BP19" s="473"/>
      <c r="BQ19" s="485" t="s">
        <v>966</v>
      </c>
      <c r="BR19" s="485" t="s">
        <v>974</v>
      </c>
      <c r="BS19" s="485" t="s">
        <v>965</v>
      </c>
      <c r="BT19" s="485" t="s">
        <v>965</v>
      </c>
      <c r="BU19" s="485" t="s">
        <v>1345</v>
      </c>
      <c r="BV19" s="79" t="s">
        <v>1286</v>
      </c>
      <c r="BW19" s="304"/>
    </row>
    <row r="20" spans="1:77" ht="16.2" thickBot="1" x14ac:dyDescent="0.35">
      <c r="C20" s="122"/>
      <c r="D20" s="95"/>
      <c r="E20" s="87"/>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122"/>
      <c r="AK20" s="450" t="s">
        <v>285</v>
      </c>
      <c r="AL20" s="122"/>
      <c r="AM20" s="8"/>
      <c r="AN20" s="126"/>
      <c r="AP20" s="122"/>
      <c r="AQ20" s="450" t="s">
        <v>285</v>
      </c>
      <c r="AR20" s="623"/>
      <c r="AS20" s="623"/>
      <c r="AT20" s="628"/>
      <c r="AW20" s="473"/>
      <c r="AX20" s="473"/>
      <c r="AY20" s="473"/>
      <c r="AZ20" s="473"/>
      <c r="BA20" s="473"/>
      <c r="BB20" s="473"/>
      <c r="BC20" s="473"/>
      <c r="BD20" s="473"/>
      <c r="BE20" s="473"/>
      <c r="BF20" s="473"/>
      <c r="BG20" s="970"/>
      <c r="BH20" s="485"/>
      <c r="BI20" s="485"/>
      <c r="BJ20" s="971">
        <f>'POP Dimensions'!C15</f>
        <v>10737418.24</v>
      </c>
      <c r="BK20" s="954">
        <v>64</v>
      </c>
      <c r="BL20" s="972">
        <f>BK20*BJ20</f>
        <v>687194767.36000001</v>
      </c>
      <c r="BM20" s="954">
        <v>16</v>
      </c>
      <c r="BN20" s="954"/>
      <c r="BO20" s="971">
        <f>BL20*BM20</f>
        <v>10995116277.76</v>
      </c>
      <c r="BP20" s="473"/>
      <c r="BQ20" s="485" t="s">
        <v>785</v>
      </c>
      <c r="BR20" s="485"/>
      <c r="BS20" s="485" t="s">
        <v>962</v>
      </c>
      <c r="BT20" s="485" t="s">
        <v>1341</v>
      </c>
      <c r="BU20" s="485" t="s">
        <v>1342</v>
      </c>
      <c r="BV20" s="305"/>
      <c r="BW20" s="304"/>
    </row>
    <row r="21" spans="1:77" ht="16.2" thickBot="1" x14ac:dyDescent="0.35">
      <c r="C21" s="149" t="s">
        <v>737</v>
      </c>
      <c r="D21" s="610">
        <f>E21/E8</f>
        <v>0.27525019040331244</v>
      </c>
      <c r="E21" s="151">
        <f>'UCS™ TWF Ťenders'!D131</f>
        <v>5910952.8300000001</v>
      </c>
      <c r="F21" s="1092">
        <v>0.3</v>
      </c>
      <c r="G21" s="151">
        <f>E21*F21</f>
        <v>1773285.8489999999</v>
      </c>
      <c r="H21" s="465">
        <v>0.9</v>
      </c>
      <c r="I21" s="151">
        <f>G21*H21</f>
        <v>1595957.2641</v>
      </c>
      <c r="J21" s="465">
        <v>0.95</v>
      </c>
      <c r="K21" s="444">
        <f>I21*J21</f>
        <v>1516159.400895</v>
      </c>
      <c r="L21" s="152">
        <f>H21</f>
        <v>0.9</v>
      </c>
      <c r="M21" s="444">
        <f>K21*L21</f>
        <v>1364543.4608054999</v>
      </c>
      <c r="N21" s="152">
        <f>J21</f>
        <v>0.95</v>
      </c>
      <c r="O21" s="444">
        <f>M21*N21</f>
        <v>1296316.2877652249</v>
      </c>
      <c r="P21" s="152">
        <f>L21</f>
        <v>0.9</v>
      </c>
      <c r="Q21" s="444">
        <f>O21*P21</f>
        <v>1166684.6589887026</v>
      </c>
      <c r="R21" s="152">
        <f>N21</f>
        <v>0.95</v>
      </c>
      <c r="S21" s="444">
        <f>Q21*R21</f>
        <v>1108350.4260392673</v>
      </c>
      <c r="T21" s="152">
        <f>P21</f>
        <v>0.9</v>
      </c>
      <c r="U21" s="444">
        <f>S21*T21</f>
        <v>997515.3834353406</v>
      </c>
      <c r="V21" s="152">
        <f>R21</f>
        <v>0.95</v>
      </c>
      <c r="W21" s="444">
        <f>U21*V21</f>
        <v>947639.61426357355</v>
      </c>
      <c r="X21" s="152">
        <f>T21</f>
        <v>0.9</v>
      </c>
      <c r="Y21" s="444">
        <f>W21*X21</f>
        <v>852875.65283721616</v>
      </c>
      <c r="Z21" s="152">
        <f>V21</f>
        <v>0.95</v>
      </c>
      <c r="AA21" s="444">
        <f>Y21*Z21</f>
        <v>810231.87019535527</v>
      </c>
      <c r="AB21" s="152">
        <f>X21</f>
        <v>0.9</v>
      </c>
      <c r="AC21" s="444">
        <f>AA21*AB21</f>
        <v>729208.68317581981</v>
      </c>
      <c r="AD21" s="152">
        <f>Z21</f>
        <v>0.95</v>
      </c>
      <c r="AE21" s="444">
        <f>AC21*AD21</f>
        <v>692748.24901702884</v>
      </c>
      <c r="AF21" s="152">
        <f>AB21</f>
        <v>0.9</v>
      </c>
      <c r="AG21" s="444">
        <f>AE21*AF21</f>
        <v>623473.42411532602</v>
      </c>
      <c r="AH21" s="152">
        <f>AD21</f>
        <v>0.95</v>
      </c>
      <c r="AI21" s="444">
        <f>AG21*AH21</f>
        <v>592299.75290955964</v>
      </c>
      <c r="AJ21" s="152">
        <f>AF21</f>
        <v>0.9</v>
      </c>
      <c r="AK21" s="444">
        <f>AI21*AJ21</f>
        <v>533069.77761860366</v>
      </c>
      <c r="AL21" s="152">
        <f>AH21</f>
        <v>0.95</v>
      </c>
      <c r="AM21" s="444">
        <f>AK21*AL21</f>
        <v>506416.28873767343</v>
      </c>
      <c r="AN21" s="161">
        <f>G21+I21+M21+Q21+U21+Y21+AC21+AG21+AK21</f>
        <v>9636614.1540765092</v>
      </c>
      <c r="AP21" s="594">
        <f>AJ21</f>
        <v>0.9</v>
      </c>
      <c r="AQ21" s="444">
        <f>AM21*AP21</f>
        <v>455774.6598639061</v>
      </c>
      <c r="AR21" s="623"/>
      <c r="AS21" s="624"/>
      <c r="AT21" s="628"/>
      <c r="AW21" s="473"/>
      <c r="BM21" s="976"/>
      <c r="BN21" s="976"/>
      <c r="BW21" s="913"/>
    </row>
    <row r="22" spans="1:77" ht="16.2" thickBot="1" x14ac:dyDescent="0.35">
      <c r="C22" s="141"/>
      <c r="E22" s="9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437"/>
      <c r="AK22" s="449" t="s">
        <v>738</v>
      </c>
      <c r="AL22" s="433"/>
      <c r="AM22" s="434"/>
      <c r="AN22" s="180"/>
      <c r="AP22" s="437"/>
      <c r="AQ22" s="449" t="s">
        <v>738</v>
      </c>
      <c r="AR22" s="623"/>
      <c r="AS22" s="623"/>
      <c r="AT22" s="628"/>
      <c r="AW22" s="473"/>
      <c r="BD22" s="1" t="s">
        <v>955</v>
      </c>
      <c r="BH22" s="581" t="s">
        <v>964</v>
      </c>
      <c r="BI22" s="75"/>
      <c r="BJ22" s="75"/>
      <c r="BK22" s="986"/>
      <c r="BL22" s="896"/>
      <c r="BM22" s="980"/>
      <c r="BN22" s="980"/>
      <c r="BO22" s="75"/>
      <c r="BQ22" s="75"/>
      <c r="BR22" s="76"/>
      <c r="BS22" s="75"/>
      <c r="BT22" s="76">
        <f>BT31</f>
        <v>1372242051.072</v>
      </c>
      <c r="BU22" s="75"/>
      <c r="BV22" s="910"/>
      <c r="BW22" s="304"/>
    </row>
    <row r="23" spans="1:77" ht="16.2" thickBot="1" x14ac:dyDescent="0.35">
      <c r="C23" s="141"/>
      <c r="D23" s="94">
        <f>SUM(D14:D21)</f>
        <v>1</v>
      </c>
      <c r="E23" s="91"/>
      <c r="F23" s="1093">
        <v>0.25</v>
      </c>
      <c r="G23" s="431">
        <f>E21*F23</f>
        <v>1477738.2075</v>
      </c>
      <c r="H23" s="466">
        <v>0.9</v>
      </c>
      <c r="I23" s="431">
        <f>G23*H23</f>
        <v>1329964.3867500001</v>
      </c>
      <c r="J23" s="466">
        <v>0.95</v>
      </c>
      <c r="K23" s="442">
        <f>I23*J23</f>
        <v>1263466.1674124999</v>
      </c>
      <c r="L23" s="430">
        <f>H23</f>
        <v>0.9</v>
      </c>
      <c r="M23" s="442">
        <f>K23*L23</f>
        <v>1137119.5506712499</v>
      </c>
      <c r="N23" s="430">
        <f>J23</f>
        <v>0.95</v>
      </c>
      <c r="O23" s="442">
        <f>M23*N23</f>
        <v>1080263.5731376873</v>
      </c>
      <c r="P23" s="430">
        <f>L23</f>
        <v>0.9</v>
      </c>
      <c r="Q23" s="442">
        <f>O23*P23</f>
        <v>972237.21582391858</v>
      </c>
      <c r="R23" s="430">
        <f>N23</f>
        <v>0.95</v>
      </c>
      <c r="S23" s="442">
        <f>Q23*R23</f>
        <v>923625.35503272258</v>
      </c>
      <c r="T23" s="430">
        <f>P23</f>
        <v>0.9</v>
      </c>
      <c r="U23" s="442">
        <f>S23*T23</f>
        <v>831262.81952945038</v>
      </c>
      <c r="V23" s="430">
        <f>R23</f>
        <v>0.95</v>
      </c>
      <c r="W23" s="442">
        <f>U23*V23</f>
        <v>789699.67855297786</v>
      </c>
      <c r="X23" s="430">
        <f>T23</f>
        <v>0.9</v>
      </c>
      <c r="Y23" s="442">
        <f>W23*X23</f>
        <v>710729.71069768013</v>
      </c>
      <c r="Z23" s="430">
        <f>V23</f>
        <v>0.95</v>
      </c>
      <c r="AA23" s="442">
        <f>Y23*Z23</f>
        <v>675193.22516279609</v>
      </c>
      <c r="AB23" s="430">
        <f>X23</f>
        <v>0.9</v>
      </c>
      <c r="AC23" s="442">
        <f>AA23*AB23</f>
        <v>607673.90264651645</v>
      </c>
      <c r="AD23" s="430">
        <f>Z23</f>
        <v>0.95</v>
      </c>
      <c r="AE23" s="442">
        <f>AC23*AD23</f>
        <v>577290.20751419058</v>
      </c>
      <c r="AF23" s="430">
        <f>AB23</f>
        <v>0.9</v>
      </c>
      <c r="AG23" s="442">
        <f>AE23*AF23</f>
        <v>519561.18676277151</v>
      </c>
      <c r="AH23" s="430">
        <f>AD23</f>
        <v>0.95</v>
      </c>
      <c r="AI23" s="442">
        <f>AG23*AH23</f>
        <v>493583.1274246329</v>
      </c>
      <c r="AJ23" s="430">
        <f>AF23</f>
        <v>0.9</v>
      </c>
      <c r="AK23" s="442">
        <f>AI23*AJ23</f>
        <v>444224.81468216964</v>
      </c>
      <c r="AL23" s="430">
        <f>AH23</f>
        <v>0.95</v>
      </c>
      <c r="AM23" s="442">
        <f>AK23*AL23</f>
        <v>422013.57394806115</v>
      </c>
      <c r="AN23" s="161">
        <f>G23+I23+M23+Q23+U23+Y23+AC23+AG23+AK23</f>
        <v>8030511.7950637564</v>
      </c>
      <c r="AP23" s="595">
        <f>AJ23</f>
        <v>0.9</v>
      </c>
      <c r="AQ23" s="442">
        <f>AM23*AP23</f>
        <v>379812.21655325504</v>
      </c>
      <c r="AR23" s="623"/>
      <c r="AS23" s="624"/>
      <c r="AT23" s="628"/>
      <c r="AW23" s="473"/>
      <c r="BB23" s="982" t="s">
        <v>989</v>
      </c>
      <c r="BC23" s="983">
        <v>2016</v>
      </c>
      <c r="BD23" s="910">
        <v>75543543000000</v>
      </c>
      <c r="BE23" s="984">
        <v>2.5000000000000001E-2</v>
      </c>
      <c r="BF23" s="910">
        <f>BD23*BE23</f>
        <v>1888588575000</v>
      </c>
      <c r="BH23" s="75"/>
      <c r="BI23" s="968">
        <v>2016</v>
      </c>
      <c r="BJ23" s="305">
        <f>BJ20</f>
        <v>10737418.24</v>
      </c>
      <c r="BK23" s="986">
        <v>64</v>
      </c>
      <c r="BL23" s="411">
        <f t="shared" ref="BL23:BL35" si="0">BK23*BJ23</f>
        <v>687194767.36000001</v>
      </c>
      <c r="BM23" s="980"/>
      <c r="BN23" s="980"/>
      <c r="BO23" s="305">
        <f t="shared" ref="BO23:BO30" si="1">BL23*BM23</f>
        <v>0</v>
      </c>
      <c r="BQ23" s="75"/>
      <c r="BR23" s="76"/>
      <c r="BS23" s="75"/>
      <c r="BT23" s="953">
        <v>25000</v>
      </c>
      <c r="BU23" s="968" t="s">
        <v>1349</v>
      </c>
      <c r="BV23" s="910"/>
      <c r="BW23" s="981">
        <v>2016</v>
      </c>
    </row>
    <row r="24" spans="1:77"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122"/>
      <c r="AK24" s="448" t="s">
        <v>294</v>
      </c>
      <c r="AL24" s="122"/>
      <c r="AM24" s="8"/>
      <c r="AN24" s="126"/>
      <c r="AP24" s="122"/>
      <c r="AQ24" s="448" t="s">
        <v>294</v>
      </c>
      <c r="AR24" s="623"/>
      <c r="AS24" s="623"/>
      <c r="AT24" s="628"/>
      <c r="AW24" s="473"/>
      <c r="BB24" s="982" t="s">
        <v>989</v>
      </c>
      <c r="BC24" s="983">
        <f>BC23+1</f>
        <v>2017</v>
      </c>
      <c r="BD24" s="910">
        <f>BD23+BF23</f>
        <v>77432131575000</v>
      </c>
      <c r="BE24" s="985">
        <f>BE23</f>
        <v>2.5000000000000001E-2</v>
      </c>
      <c r="BF24" s="910">
        <f>BD24*BE24</f>
        <v>1935803289375</v>
      </c>
      <c r="BH24" s="75"/>
      <c r="BI24" s="968">
        <f>BI23+1</f>
        <v>2017</v>
      </c>
      <c r="BJ24" s="305">
        <f>BJ20</f>
        <v>10737418.24</v>
      </c>
      <c r="BK24" s="986">
        <v>64</v>
      </c>
      <c r="BL24" s="411">
        <f t="shared" si="0"/>
        <v>687194767.36000001</v>
      </c>
      <c r="BM24" s="980"/>
      <c r="BN24" s="980"/>
      <c r="BO24" s="305">
        <f t="shared" si="1"/>
        <v>0</v>
      </c>
      <c r="BQ24" s="75"/>
      <c r="BR24" s="76"/>
      <c r="BS24" s="75"/>
      <c r="BT24" s="76">
        <f>BT22/BT23</f>
        <v>54889.682042879998</v>
      </c>
      <c r="BU24" s="75"/>
      <c r="BV24" s="910"/>
      <c r="BW24" s="981">
        <f>BW23+1</f>
        <v>2017</v>
      </c>
    </row>
    <row r="25" spans="1:77" ht="16.2" thickBot="1" x14ac:dyDescent="0.35">
      <c r="C25" s="122"/>
      <c r="D25" s="573" t="s">
        <v>1367</v>
      </c>
      <c r="E25" s="7"/>
      <c r="F25" s="1094">
        <v>0.2</v>
      </c>
      <c r="G25" s="99">
        <f>E21*F25</f>
        <v>1182190.5660000001</v>
      </c>
      <c r="H25" s="467">
        <v>0.9</v>
      </c>
      <c r="I25" s="99">
        <f>G25*H25</f>
        <v>1063971.5094000001</v>
      </c>
      <c r="J25" s="467">
        <v>0.95</v>
      </c>
      <c r="K25" s="443">
        <f>I25*J25</f>
        <v>1010772.9339300001</v>
      </c>
      <c r="L25" s="153">
        <f>H25</f>
        <v>0.9</v>
      </c>
      <c r="M25" s="443">
        <f>K25*L25</f>
        <v>909695.64053700003</v>
      </c>
      <c r="N25" s="153">
        <f>J25</f>
        <v>0.95</v>
      </c>
      <c r="O25" s="443">
        <f>M25*N25</f>
        <v>864210.85851014999</v>
      </c>
      <c r="P25" s="153">
        <f>L25</f>
        <v>0.9</v>
      </c>
      <c r="Q25" s="443">
        <f>O25*P25</f>
        <v>777789.77265913505</v>
      </c>
      <c r="R25" s="153">
        <f>N25</f>
        <v>0.95</v>
      </c>
      <c r="S25" s="443">
        <f>Q25*R25</f>
        <v>738900.2840261783</v>
      </c>
      <c r="T25" s="153">
        <f>P25</f>
        <v>0.9</v>
      </c>
      <c r="U25" s="443">
        <f>S25*T25</f>
        <v>665010.25562356052</v>
      </c>
      <c r="V25" s="153">
        <f>R25</f>
        <v>0.95</v>
      </c>
      <c r="W25" s="443">
        <f>U25*V25</f>
        <v>631759.7428423824</v>
      </c>
      <c r="X25" s="153">
        <f>T25</f>
        <v>0.9</v>
      </c>
      <c r="Y25" s="443">
        <f>W25*X25</f>
        <v>568583.76855814422</v>
      </c>
      <c r="Z25" s="153">
        <f>V25</f>
        <v>0.95</v>
      </c>
      <c r="AA25" s="443">
        <f>Y25*Z25</f>
        <v>540154.58013023704</v>
      </c>
      <c r="AB25" s="153">
        <f>X25</f>
        <v>0.9</v>
      </c>
      <c r="AC25" s="443">
        <f>AA25*AB25</f>
        <v>486139.12211721332</v>
      </c>
      <c r="AD25" s="153">
        <f>Z25</f>
        <v>0.95</v>
      </c>
      <c r="AE25" s="443">
        <f>AC25*AD25</f>
        <v>461832.16601135262</v>
      </c>
      <c r="AF25" s="153">
        <f>AB25</f>
        <v>0.9</v>
      </c>
      <c r="AG25" s="443">
        <f>AE25*AF25</f>
        <v>415648.94941021735</v>
      </c>
      <c r="AH25" s="153">
        <f>AD25</f>
        <v>0.95</v>
      </c>
      <c r="AI25" s="443">
        <f>AG25*AH25</f>
        <v>394866.50193970645</v>
      </c>
      <c r="AJ25" s="153">
        <f>AF25</f>
        <v>0.9</v>
      </c>
      <c r="AK25" s="443">
        <f>AI25*AJ25</f>
        <v>355379.8517457358</v>
      </c>
      <c r="AL25" s="153">
        <f>AH25</f>
        <v>0.95</v>
      </c>
      <c r="AM25" s="443">
        <f>AK25*AL25</f>
        <v>337610.85915844899</v>
      </c>
      <c r="AN25" s="161">
        <f>G25+I25+M25+Q25+U25+Y25+AC25+AG25+AK25</f>
        <v>6424409.4360510074</v>
      </c>
      <c r="AP25" s="596">
        <f>AJ25</f>
        <v>0.9</v>
      </c>
      <c r="AQ25" s="443">
        <f>AM25*AP25</f>
        <v>303849.7732426041</v>
      </c>
      <c r="AR25" s="623"/>
      <c r="AS25" s="624"/>
      <c r="AT25" s="628"/>
      <c r="AW25" s="473"/>
      <c r="BB25" s="982" t="s">
        <v>989</v>
      </c>
      <c r="BC25" s="983">
        <f t="shared" ref="BC25:BC35" si="2">BC24+1</f>
        <v>2018</v>
      </c>
      <c r="BD25" s="910">
        <f t="shared" ref="BD25:BD35" si="3">BD24+BF24</f>
        <v>79367934864375</v>
      </c>
      <c r="BE25" s="985">
        <f t="shared" ref="BE25:BE35" si="4">BE24</f>
        <v>2.5000000000000001E-2</v>
      </c>
      <c r="BF25" s="910">
        <f t="shared" ref="BF25:BF35" si="5">BD25*BE25</f>
        <v>1984198371609.375</v>
      </c>
      <c r="BH25" s="75"/>
      <c r="BI25" s="968">
        <f t="shared" ref="BI25:BI35" si="6">BI24+1</f>
        <v>2018</v>
      </c>
      <c r="BJ25" s="305">
        <f>BJ20</f>
        <v>10737418.24</v>
      </c>
      <c r="BK25" s="986">
        <v>64</v>
      </c>
      <c r="BL25" s="411">
        <f t="shared" si="0"/>
        <v>687194767.36000001</v>
      </c>
      <c r="BM25" s="980">
        <v>2.5000000000000001E-2</v>
      </c>
      <c r="BN25" s="980"/>
      <c r="BO25" s="305">
        <f t="shared" si="1"/>
        <v>17179869.184</v>
      </c>
      <c r="BP25" s="978" t="s">
        <v>1144</v>
      </c>
      <c r="BQ25" s="305">
        <f t="shared" ref="BQ25:BQ35" si="7">BO25</f>
        <v>17179869.184</v>
      </c>
      <c r="BR25" s="691">
        <f t="shared" ref="BR25:BR35" si="8">BQ25+BR24-BV25</f>
        <v>17179869.184</v>
      </c>
      <c r="BS25" s="893">
        <v>0.125</v>
      </c>
      <c r="BT25" s="973">
        <f>BR25*BS25</f>
        <v>2147483.648</v>
      </c>
      <c r="BU25" s="305">
        <f>AN58</f>
        <v>1342531553.5429084</v>
      </c>
      <c r="BV25" s="910">
        <f t="shared" ref="BV25:BV35" si="9">BL25*BN25</f>
        <v>0</v>
      </c>
      <c r="BW25" s="981">
        <f t="shared" ref="BW25:BW35" si="10">BW24+1</f>
        <v>2018</v>
      </c>
    </row>
    <row r="26" spans="1:77"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126"/>
      <c r="AP26" s="122"/>
      <c r="AQ26" s="452" t="s">
        <v>733</v>
      </c>
      <c r="AR26" s="623"/>
      <c r="AS26" s="623"/>
      <c r="AT26" s="628"/>
      <c r="AW26" s="473"/>
      <c r="BB26" s="982" t="s">
        <v>989</v>
      </c>
      <c r="BC26" s="983">
        <f t="shared" si="2"/>
        <v>2019</v>
      </c>
      <c r="BD26" s="910">
        <f t="shared" si="3"/>
        <v>81352133235984.375</v>
      </c>
      <c r="BE26" s="985">
        <f t="shared" si="4"/>
        <v>2.5000000000000001E-2</v>
      </c>
      <c r="BF26" s="910">
        <f t="shared" si="5"/>
        <v>2033803330899.6094</v>
      </c>
      <c r="BH26" s="75"/>
      <c r="BI26" s="968">
        <f t="shared" si="6"/>
        <v>2019</v>
      </c>
      <c r="BJ26" s="305">
        <f>BJ20</f>
        <v>10737418.24</v>
      </c>
      <c r="BK26" s="986">
        <v>64</v>
      </c>
      <c r="BL26" s="411">
        <f t="shared" si="0"/>
        <v>687194767.36000001</v>
      </c>
      <c r="BM26" s="980">
        <v>0.2</v>
      </c>
      <c r="BN26" s="980"/>
      <c r="BO26" s="305">
        <f t="shared" si="1"/>
        <v>137438953.472</v>
      </c>
      <c r="BP26" s="978" t="s">
        <v>1144</v>
      </c>
      <c r="BQ26" s="305">
        <f t="shared" si="7"/>
        <v>137438953.472</v>
      </c>
      <c r="BR26" s="691">
        <f t="shared" si="8"/>
        <v>154618822.65600002</v>
      </c>
      <c r="BS26" s="893">
        <f>BS25</f>
        <v>0.125</v>
      </c>
      <c r="BT26" s="973">
        <f t="shared" ref="BT26:BT31" si="11">BR26*BS26</f>
        <v>19327352.832000002</v>
      </c>
      <c r="BU26" s="305">
        <f>BU25</f>
        <v>1342531553.5429084</v>
      </c>
      <c r="BV26" s="910">
        <f t="shared" si="9"/>
        <v>0</v>
      </c>
      <c r="BW26" s="981">
        <f t="shared" si="10"/>
        <v>2019</v>
      </c>
    </row>
    <row r="27" spans="1:77" ht="19.2" thickBot="1" x14ac:dyDescent="0.5">
      <c r="C27" s="122"/>
      <c r="D27" s="574" t="s">
        <v>1369</v>
      </c>
      <c r="E27" s="7"/>
      <c r="F27" s="1096">
        <v>0.25</v>
      </c>
      <c r="G27" s="446">
        <f>E21*F27</f>
        <v>1477738.2075</v>
      </c>
      <c r="H27" s="447">
        <v>0.25</v>
      </c>
      <c r="I27" s="446">
        <f>G27*H27</f>
        <v>369434.551875</v>
      </c>
      <c r="J27" s="447">
        <v>0.95</v>
      </c>
      <c r="K27" s="439">
        <f>I27*J27</f>
        <v>350962.82428125001</v>
      </c>
      <c r="L27" s="438">
        <f>H27</f>
        <v>0.25</v>
      </c>
      <c r="M27" s="439">
        <f>K27*L27</f>
        <v>87740.706070312503</v>
      </c>
      <c r="N27" s="438">
        <f>J27</f>
        <v>0.95</v>
      </c>
      <c r="O27" s="439">
        <f>M27*N27</f>
        <v>83353.670766796873</v>
      </c>
      <c r="P27" s="438">
        <f>L27</f>
        <v>0.25</v>
      </c>
      <c r="Q27" s="439">
        <f>O27*P27</f>
        <v>20838.417691699218</v>
      </c>
      <c r="R27" s="438">
        <f>N27</f>
        <v>0.95</v>
      </c>
      <c r="S27" s="439">
        <f>Q27*R27</f>
        <v>19796.496807114258</v>
      </c>
      <c r="T27" s="438">
        <f>P27</f>
        <v>0.25</v>
      </c>
      <c r="U27" s="439">
        <f>S27*T27</f>
        <v>4949.1242017785644</v>
      </c>
      <c r="V27" s="438">
        <f>R27</f>
        <v>0.95</v>
      </c>
      <c r="W27" s="439">
        <f>U27*V27</f>
        <v>4701.6679916896355</v>
      </c>
      <c r="X27" s="438">
        <f>T27</f>
        <v>0.25</v>
      </c>
      <c r="Y27" s="439">
        <f>W27*X27</f>
        <v>1175.4169979224089</v>
      </c>
      <c r="Z27" s="438">
        <f>V27</f>
        <v>0.95</v>
      </c>
      <c r="AA27" s="439">
        <f>Y27*Z27</f>
        <v>1116.6461480262883</v>
      </c>
      <c r="AB27" s="438">
        <f>X27</f>
        <v>0.25</v>
      </c>
      <c r="AC27" s="439">
        <f>AA27*AB27</f>
        <v>279.16153700657208</v>
      </c>
      <c r="AD27" s="438">
        <f>Z27</f>
        <v>0.95</v>
      </c>
      <c r="AE27" s="439">
        <f>AC27*AD27</f>
        <v>265.20346015624347</v>
      </c>
      <c r="AF27" s="438">
        <f>AB27</f>
        <v>0.25</v>
      </c>
      <c r="AG27" s="439">
        <f>AE27*AF27</f>
        <v>66.300865039060866</v>
      </c>
      <c r="AH27" s="438">
        <f>AD27</f>
        <v>0.95</v>
      </c>
      <c r="AI27" s="439">
        <f>AG27*AH27</f>
        <v>62.985821787107817</v>
      </c>
      <c r="AJ27" s="438">
        <f>AF27</f>
        <v>0.25</v>
      </c>
      <c r="AK27" s="439">
        <f>AI27*AJ27</f>
        <v>15.746455446776954</v>
      </c>
      <c r="AL27" s="438">
        <f>AH27</f>
        <v>0.95</v>
      </c>
      <c r="AM27" s="439">
        <f>AK27*AL27</f>
        <v>14.959132674438106</v>
      </c>
      <c r="AN27" s="161">
        <f>G27+I27+M27+Q27+U27+Y27+AC27+AG27+AK27</f>
        <v>1962237.6331942049</v>
      </c>
      <c r="AP27" s="597">
        <f>AJ27</f>
        <v>0.25</v>
      </c>
      <c r="AQ27" s="439">
        <f>AM27*AP27</f>
        <v>3.7397831686095264</v>
      </c>
      <c r="AR27" s="623"/>
      <c r="AS27" s="624"/>
      <c r="AT27" s="628"/>
      <c r="AW27" s="473"/>
      <c r="BB27" s="982" t="s">
        <v>989</v>
      </c>
      <c r="BC27" s="983">
        <f t="shared" si="2"/>
        <v>2020</v>
      </c>
      <c r="BD27" s="910">
        <f t="shared" si="3"/>
        <v>83385936566883.984</v>
      </c>
      <c r="BE27" s="985">
        <f t="shared" si="4"/>
        <v>2.5000000000000001E-2</v>
      </c>
      <c r="BF27" s="910">
        <f t="shared" si="5"/>
        <v>2084648414172.0996</v>
      </c>
      <c r="BG27" s="895" t="s">
        <v>1283</v>
      </c>
      <c r="BH27" s="75"/>
      <c r="BI27" s="968">
        <f t="shared" si="6"/>
        <v>2020</v>
      </c>
      <c r="BJ27" s="305">
        <f>BJ20</f>
        <v>10737418.24</v>
      </c>
      <c r="BK27" s="986">
        <v>64</v>
      </c>
      <c r="BL27" s="411">
        <f t="shared" si="0"/>
        <v>687194767.36000001</v>
      </c>
      <c r="BM27" s="980">
        <v>1.5</v>
      </c>
      <c r="BN27" s="980"/>
      <c r="BO27" s="305">
        <f t="shared" si="1"/>
        <v>1030792151.04</v>
      </c>
      <c r="BP27" s="978" t="s">
        <v>1144</v>
      </c>
      <c r="BQ27" s="305">
        <f t="shared" si="7"/>
        <v>1030792151.04</v>
      </c>
      <c r="BR27" s="691">
        <f t="shared" si="8"/>
        <v>1185410973.6960001</v>
      </c>
      <c r="BS27" s="893">
        <f t="shared" ref="BS27:BS31" si="12">BS26</f>
        <v>0.125</v>
      </c>
      <c r="BT27" s="973">
        <f t="shared" si="11"/>
        <v>148176371.71200001</v>
      </c>
      <c r="BU27" s="305">
        <f t="shared" ref="BU27:BU35" si="13">BU26</f>
        <v>1342531553.5429084</v>
      </c>
      <c r="BV27" s="910">
        <f t="shared" si="9"/>
        <v>0</v>
      </c>
      <c r="BW27" s="981">
        <f t="shared" si="10"/>
        <v>2020</v>
      </c>
    </row>
    <row r="28" spans="1:77" ht="18.600000000000001" x14ac:dyDescent="0.45">
      <c r="C28" s="122"/>
      <c r="D28" s="572" t="s">
        <v>1370</v>
      </c>
      <c r="E28" s="7"/>
      <c r="F28" s="142"/>
      <c r="G28" s="9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437"/>
      <c r="AK28" s="434"/>
      <c r="AL28" s="142"/>
      <c r="AM28" s="434"/>
      <c r="AN28" s="180"/>
      <c r="AP28" s="122"/>
      <c r="AQ28" s="8"/>
      <c r="AR28" s="623"/>
      <c r="AS28" s="624"/>
      <c r="AT28" s="629">
        <f>AQ5</f>
        <v>706498529.90229344</v>
      </c>
      <c r="AW28" s="473"/>
      <c r="BB28" s="982" t="s">
        <v>989</v>
      </c>
      <c r="BC28" s="983">
        <f t="shared" si="2"/>
        <v>2021</v>
      </c>
      <c r="BD28" s="910">
        <f t="shared" si="3"/>
        <v>85470584981056.078</v>
      </c>
      <c r="BE28" s="985">
        <f t="shared" si="4"/>
        <v>2.5000000000000001E-2</v>
      </c>
      <c r="BF28" s="910">
        <f t="shared" si="5"/>
        <v>2136764624526.4021</v>
      </c>
      <c r="BH28" s="75"/>
      <c r="BI28" s="968">
        <f t="shared" si="6"/>
        <v>2021</v>
      </c>
      <c r="BJ28" s="305">
        <f>BJ20</f>
        <v>10737418.24</v>
      </c>
      <c r="BK28" s="986">
        <v>64</v>
      </c>
      <c r="BL28" s="411">
        <f t="shared" si="0"/>
        <v>687194767.36000001</v>
      </c>
      <c r="BM28" s="980">
        <v>1.25</v>
      </c>
      <c r="BN28" s="980"/>
      <c r="BO28" s="305">
        <f t="shared" si="1"/>
        <v>858993459.20000005</v>
      </c>
      <c r="BP28" s="978" t="s">
        <v>1144</v>
      </c>
      <c r="BQ28" s="305">
        <f t="shared" si="7"/>
        <v>858993459.20000005</v>
      </c>
      <c r="BR28" s="691">
        <f t="shared" si="8"/>
        <v>2044404432.8960001</v>
      </c>
      <c r="BS28" s="893">
        <f t="shared" si="12"/>
        <v>0.125</v>
      </c>
      <c r="BT28" s="973">
        <f t="shared" si="11"/>
        <v>255550554.11200002</v>
      </c>
      <c r="BU28" s="305">
        <f t="shared" si="13"/>
        <v>1342531553.5429084</v>
      </c>
      <c r="BV28" s="910">
        <f t="shared" si="9"/>
        <v>0</v>
      </c>
      <c r="BW28" s="981">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108879234.49711645</v>
      </c>
      <c r="AP29" s="179"/>
      <c r="AQ29" s="161">
        <f>SUM(AQ10:AQ28)</f>
        <v>5010999.7124234112</v>
      </c>
      <c r="AR29" s="1263">
        <v>128</v>
      </c>
      <c r="AS29" s="183">
        <f>AQ29*AR29</f>
        <v>641407963.19019663</v>
      </c>
      <c r="AT29" s="645">
        <f>AS29+AT28</f>
        <v>1347906493.0924902</v>
      </c>
      <c r="AU29" s="253" t="s">
        <v>1383</v>
      </c>
      <c r="AW29" s="473"/>
      <c r="BB29" s="982" t="s">
        <v>989</v>
      </c>
      <c r="BC29" s="983">
        <f>BC28+1</f>
        <v>2022</v>
      </c>
      <c r="BD29" s="910">
        <f>BD28+BF28</f>
        <v>87607349605582.484</v>
      </c>
      <c r="BE29" s="985">
        <f>BE28</f>
        <v>2.5000000000000001E-2</v>
      </c>
      <c r="BF29" s="910">
        <f t="shared" si="5"/>
        <v>2190183740139.5623</v>
      </c>
      <c r="BH29" s="75"/>
      <c r="BI29" s="968">
        <f>BI28+1</f>
        <v>2022</v>
      </c>
      <c r="BJ29" s="305">
        <f>BJ20</f>
        <v>10737418.24</v>
      </c>
      <c r="BK29" s="986">
        <v>64</v>
      </c>
      <c r="BL29" s="411">
        <f t="shared" si="0"/>
        <v>687194767.36000001</v>
      </c>
      <c r="BM29" s="980">
        <v>2</v>
      </c>
      <c r="BN29" s="980"/>
      <c r="BO29" s="305">
        <f t="shared" si="1"/>
        <v>1374389534.72</v>
      </c>
      <c r="BP29" s="978" t="s">
        <v>1144</v>
      </c>
      <c r="BQ29" s="305">
        <f t="shared" si="7"/>
        <v>1374389534.72</v>
      </c>
      <c r="BR29" s="691">
        <f t="shared" si="8"/>
        <v>3418793967.6160002</v>
      </c>
      <c r="BS29" s="893">
        <f t="shared" si="12"/>
        <v>0.125</v>
      </c>
      <c r="BT29" s="973">
        <f t="shared" si="11"/>
        <v>427349245.95200002</v>
      </c>
      <c r="BU29" s="305">
        <f t="shared" si="13"/>
        <v>1342531553.5429084</v>
      </c>
      <c r="BV29" s="910">
        <f t="shared" si="9"/>
        <v>0</v>
      </c>
      <c r="BW29" s="981">
        <f>BW28+1</f>
        <v>2022</v>
      </c>
    </row>
    <row r="30" spans="1:77" x14ac:dyDescent="0.3">
      <c r="C30" s="158"/>
      <c r="D30" s="10"/>
      <c r="E30" s="10"/>
      <c r="F30" s="10"/>
      <c r="G30" s="159">
        <f>SUM(G10:G29)</f>
        <v>21474836.48</v>
      </c>
      <c r="H30" s="599"/>
      <c r="I30" s="172">
        <f>SUM(I10:I29)</f>
        <v>18165496.405125</v>
      </c>
      <c r="J30" s="158"/>
      <c r="K30" s="11"/>
      <c r="L30" s="160"/>
      <c r="M30" s="161">
        <f>SUM(M10:M29)</f>
        <v>15207743.459399063</v>
      </c>
      <c r="N30" s="158"/>
      <c r="O30" s="11"/>
      <c r="P30" s="598"/>
      <c r="Q30" s="172">
        <f>SUM(Q10:Q29)</f>
        <v>12903016.459467782</v>
      </c>
      <c r="R30" s="158"/>
      <c r="S30" s="11"/>
      <c r="T30" s="160"/>
      <c r="U30" s="161">
        <f>SUM(U10:U29)</f>
        <v>10997634.801568326</v>
      </c>
      <c r="V30" s="158"/>
      <c r="W30" s="11"/>
      <c r="X30" s="598"/>
      <c r="Y30" s="172">
        <f>SUM(Y10:Y29)</f>
        <v>9389672.8106791228</v>
      </c>
      <c r="Z30" s="158"/>
      <c r="AA30" s="11"/>
      <c r="AB30" s="160"/>
      <c r="AC30" s="161">
        <f>SUM(AC10:AC29)</f>
        <v>8022576.2244125111</v>
      </c>
      <c r="AD30" s="158"/>
      <c r="AE30" s="11"/>
      <c r="AF30" s="598"/>
      <c r="AG30" s="172">
        <f>SUM(AG10:AG29)</f>
        <v>6856817.8904806841</v>
      </c>
      <c r="AH30" s="158"/>
      <c r="AI30" s="11"/>
      <c r="AJ30" s="179"/>
      <c r="AK30" s="161">
        <f>SUM(AK10:AK29)</f>
        <v>5861439.9659839412</v>
      </c>
      <c r="AL30" s="158"/>
      <c r="AM30" s="11"/>
      <c r="AN30" s="161">
        <f>G30+I30+M30+Q30+U30+Y30+AC30+AG30+AK30</f>
        <v>108879234.49711643</v>
      </c>
      <c r="AT30" s="253" t="s">
        <v>1383</v>
      </c>
      <c r="AW30" s="473"/>
      <c r="BB30" s="982" t="s">
        <v>989</v>
      </c>
      <c r="BC30" s="983">
        <f>BC29+1</f>
        <v>2023</v>
      </c>
      <c r="BD30" s="910">
        <f>BD29+BF29</f>
        <v>89797533345722.047</v>
      </c>
      <c r="BE30" s="985">
        <f>BE29</f>
        <v>2.5000000000000001E-2</v>
      </c>
      <c r="BF30" s="910">
        <f t="shared" si="5"/>
        <v>2244938333643.0513</v>
      </c>
      <c r="BH30" s="75"/>
      <c r="BI30" s="968">
        <f>BI29+1</f>
        <v>2023</v>
      </c>
      <c r="BJ30" s="305">
        <f>BJ20</f>
        <v>10737418.24</v>
      </c>
      <c r="BK30" s="986">
        <v>64</v>
      </c>
      <c r="BL30" s="411">
        <f t="shared" si="0"/>
        <v>687194767.36000001</v>
      </c>
      <c r="BM30" s="980">
        <v>3</v>
      </c>
      <c r="BN30" s="980"/>
      <c r="BO30" s="305">
        <f t="shared" si="1"/>
        <v>2061584302.0799999</v>
      </c>
      <c r="BP30" s="978" t="s">
        <v>1144</v>
      </c>
      <c r="BQ30" s="305">
        <f t="shared" si="7"/>
        <v>2061584302.0799999</v>
      </c>
      <c r="BR30" s="691">
        <f t="shared" si="8"/>
        <v>5480378269.6960001</v>
      </c>
      <c r="BS30" s="893">
        <f t="shared" si="12"/>
        <v>0.125</v>
      </c>
      <c r="BT30" s="973">
        <f t="shared" si="11"/>
        <v>685047283.71200001</v>
      </c>
      <c r="BU30" s="305">
        <f t="shared" si="13"/>
        <v>1342531553.5429084</v>
      </c>
      <c r="BV30" s="910">
        <f t="shared" si="9"/>
        <v>0</v>
      </c>
      <c r="BW30" s="981">
        <f>BW29+1</f>
        <v>2023</v>
      </c>
    </row>
    <row r="31" spans="1:77" x14ac:dyDescent="0.3">
      <c r="I31" s="30"/>
      <c r="Q31" s="30"/>
      <c r="Y31" s="30"/>
      <c r="AN31" s="999" t="s">
        <v>1355</v>
      </c>
      <c r="AP31" s="77" t="s">
        <v>1382</v>
      </c>
      <c r="AQ31" s="567">
        <f>AN34</f>
        <v>5.0700844497008459</v>
      </c>
      <c r="AR31" s="76"/>
      <c r="AS31" s="76" t="s">
        <v>957</v>
      </c>
      <c r="AW31" s="473"/>
      <c r="BB31" s="982" t="s">
        <v>989</v>
      </c>
      <c r="BC31" s="983">
        <f t="shared" si="2"/>
        <v>2024</v>
      </c>
      <c r="BD31" s="910">
        <f t="shared" si="3"/>
        <v>92042471679365.094</v>
      </c>
      <c r="BE31" s="985">
        <f t="shared" si="4"/>
        <v>2.5000000000000001E-2</v>
      </c>
      <c r="BF31" s="910">
        <f t="shared" si="5"/>
        <v>2301061791984.1274</v>
      </c>
      <c r="BG31" s="895" t="s">
        <v>1282</v>
      </c>
      <c r="BH31" s="75"/>
      <c r="BI31" s="968">
        <f t="shared" si="6"/>
        <v>2024</v>
      </c>
      <c r="BJ31" s="305">
        <f>BJ20</f>
        <v>10737418.24</v>
      </c>
      <c r="BK31" s="986">
        <v>64</v>
      </c>
      <c r="BL31" s="411">
        <f t="shared" si="0"/>
        <v>687194767.36000001</v>
      </c>
      <c r="BM31" s="980">
        <v>8</v>
      </c>
      <c r="BN31" s="980"/>
      <c r="BO31" s="305">
        <f t="shared" ref="BO31:BO35" si="14">BL31*BM31</f>
        <v>5497558138.8800001</v>
      </c>
      <c r="BP31" s="978" t="s">
        <v>1144</v>
      </c>
      <c r="BQ31" s="305">
        <f t="shared" si="7"/>
        <v>5497558138.8800001</v>
      </c>
      <c r="BR31" s="691">
        <f t="shared" si="8"/>
        <v>10977936408.576</v>
      </c>
      <c r="BS31" s="893">
        <f t="shared" si="12"/>
        <v>0.125</v>
      </c>
      <c r="BT31" s="995">
        <f t="shared" si="11"/>
        <v>1372242051.072</v>
      </c>
      <c r="BU31" s="305">
        <f t="shared" si="13"/>
        <v>1342531553.5429084</v>
      </c>
      <c r="BV31" s="910">
        <f t="shared" si="9"/>
        <v>0</v>
      </c>
      <c r="BW31" s="981">
        <f t="shared" si="10"/>
        <v>2024</v>
      </c>
      <c r="BX31" s="1000">
        <v>0.125</v>
      </c>
      <c r="BY31" s="1001">
        <f>BT31*BS31</f>
        <v>171530256.384</v>
      </c>
    </row>
    <row r="32" spans="1:77" x14ac:dyDescent="0.3">
      <c r="A32" s="2"/>
      <c r="B32" s="2"/>
      <c r="I32" s="2"/>
      <c r="AM32" s="1150" t="s">
        <v>306</v>
      </c>
      <c r="AN32" s="182">
        <f>E8</f>
        <v>21474836.48</v>
      </c>
      <c r="AP32" s="564">
        <f>AN47</f>
        <v>5497558138.8800001</v>
      </c>
      <c r="AQ32" s="568">
        <f>AP32*AN34</f>
        <v>27873084031.26181</v>
      </c>
      <c r="AR32" s="208">
        <f>AO49</f>
        <v>0.66163000000000005</v>
      </c>
      <c r="AS32" s="78">
        <f>AQ32*AR32</f>
        <v>18441668587.603752</v>
      </c>
      <c r="AW32" s="473"/>
      <c r="BB32" s="332" t="s">
        <v>989</v>
      </c>
      <c r="BC32" s="953">
        <f>BC31+1</f>
        <v>2025</v>
      </c>
      <c r="BD32" s="691">
        <f>BD31+BF31</f>
        <v>94343533471349.219</v>
      </c>
      <c r="BE32" s="894">
        <f>BE31</f>
        <v>2.5000000000000001E-2</v>
      </c>
      <c r="BF32" s="691">
        <f t="shared" si="5"/>
        <v>2358588336783.7305</v>
      </c>
      <c r="BH32" s="332" t="s">
        <v>963</v>
      </c>
      <c r="BI32" s="953">
        <f>BI31+1</f>
        <v>2025</v>
      </c>
      <c r="BJ32" s="78">
        <f>BJ20</f>
        <v>10737418.24</v>
      </c>
      <c r="BK32" s="987">
        <v>64</v>
      </c>
      <c r="BL32" s="123">
        <f t="shared" si="0"/>
        <v>687194767.36000001</v>
      </c>
      <c r="BM32" s="977"/>
      <c r="BN32" s="977"/>
      <c r="BO32" s="78">
        <f t="shared" si="14"/>
        <v>0</v>
      </c>
      <c r="BQ32" s="691">
        <f t="shared" si="7"/>
        <v>0</v>
      </c>
      <c r="BR32" s="691">
        <f t="shared" si="8"/>
        <v>10977936408.576</v>
      </c>
      <c r="BS32" s="894">
        <f>BS31</f>
        <v>0.125</v>
      </c>
      <c r="BT32" s="975">
        <f t="shared" ref="BT32:BT35" si="15">BR32*BS32</f>
        <v>1372242051.072</v>
      </c>
      <c r="BU32" s="691">
        <f t="shared" si="13"/>
        <v>1342531553.5429084</v>
      </c>
      <c r="BV32" s="183">
        <f t="shared" si="9"/>
        <v>0</v>
      </c>
      <c r="BW32" s="949">
        <f>BW31+1</f>
        <v>2025</v>
      </c>
    </row>
    <row r="33" spans="1:75" x14ac:dyDescent="0.3">
      <c r="I33" s="2"/>
      <c r="J33" s="18"/>
      <c r="K33" s="2"/>
      <c r="AM33" s="122" t="s">
        <v>307</v>
      </c>
      <c r="AN33" s="183">
        <f>AN29</f>
        <v>108879234.49711645</v>
      </c>
      <c r="AQ33" s="248"/>
      <c r="AS33" s="181"/>
      <c r="AW33" s="473"/>
      <c r="BB33" s="332" t="s">
        <v>989</v>
      </c>
      <c r="BC33" s="953">
        <f t="shared" si="2"/>
        <v>2026</v>
      </c>
      <c r="BD33" s="691">
        <f t="shared" si="3"/>
        <v>96702121808132.953</v>
      </c>
      <c r="BE33" s="894">
        <f t="shared" si="4"/>
        <v>2.5000000000000001E-2</v>
      </c>
      <c r="BF33" s="691">
        <f t="shared" si="5"/>
        <v>2417553045203.3237</v>
      </c>
      <c r="BH33" s="332"/>
      <c r="BI33" s="953">
        <f t="shared" si="6"/>
        <v>2026</v>
      </c>
      <c r="BJ33" s="78">
        <f>BJ20</f>
        <v>10737418.24</v>
      </c>
      <c r="BK33" s="987">
        <v>64</v>
      </c>
      <c r="BL33" s="123">
        <f t="shared" si="0"/>
        <v>687194767.36000001</v>
      </c>
      <c r="BM33" s="977"/>
      <c r="BN33" s="977"/>
      <c r="BO33" s="78">
        <f t="shared" si="14"/>
        <v>0</v>
      </c>
      <c r="BQ33" s="691">
        <f t="shared" si="7"/>
        <v>0</v>
      </c>
      <c r="BR33" s="691">
        <f t="shared" si="8"/>
        <v>10977936408.576</v>
      </c>
      <c r="BS33" s="894">
        <f>BS32</f>
        <v>0.125</v>
      </c>
      <c r="BT33" s="975">
        <f t="shared" si="15"/>
        <v>1372242051.072</v>
      </c>
      <c r="BU33" s="691">
        <f t="shared" si="13"/>
        <v>1342531553.5429084</v>
      </c>
      <c r="BV33" s="183">
        <f t="shared" si="9"/>
        <v>0</v>
      </c>
      <c r="BW33" s="949">
        <f t="shared" si="10"/>
        <v>2026</v>
      </c>
    </row>
    <row r="34" spans="1:75" x14ac:dyDescent="0.3">
      <c r="A34" s="2"/>
      <c r="B34" s="2"/>
      <c r="C34" s="900" t="s">
        <v>1036</v>
      </c>
      <c r="D34" s="901" t="s">
        <v>1287</v>
      </c>
      <c r="E34" s="4"/>
      <c r="F34" s="4"/>
      <c r="G34" s="5"/>
      <c r="AM34" s="1150" t="s">
        <v>310</v>
      </c>
      <c r="AN34" s="184">
        <f>AN33/AN32</f>
        <v>5.0700844497008459</v>
      </c>
      <c r="AO34" s="239"/>
      <c r="AP34" s="239" t="s">
        <v>974</v>
      </c>
      <c r="AQ34" s="248" t="s">
        <v>1384</v>
      </c>
      <c r="AR34" s="239"/>
      <c r="AS34" s="181"/>
      <c r="AW34" s="473"/>
      <c r="BB34" s="332" t="s">
        <v>989</v>
      </c>
      <c r="BC34" s="953">
        <f t="shared" si="2"/>
        <v>2027</v>
      </c>
      <c r="BD34" s="691">
        <f t="shared" si="3"/>
        <v>99119674853336.281</v>
      </c>
      <c r="BE34" s="894">
        <f t="shared" si="4"/>
        <v>2.5000000000000001E-2</v>
      </c>
      <c r="BF34" s="691">
        <f t="shared" si="5"/>
        <v>2477991871333.4072</v>
      </c>
      <c r="BH34" s="76"/>
      <c r="BI34" s="953">
        <f t="shared" si="6"/>
        <v>2027</v>
      </c>
      <c r="BJ34" s="78">
        <f>BJ20</f>
        <v>10737418.24</v>
      </c>
      <c r="BK34" s="987">
        <v>64</v>
      </c>
      <c r="BL34" s="123">
        <f t="shared" si="0"/>
        <v>687194767.36000001</v>
      </c>
      <c r="BM34" s="977">
        <v>8</v>
      </c>
      <c r="BN34" s="977"/>
      <c r="BO34" s="78">
        <f t="shared" si="14"/>
        <v>5497558138.8800001</v>
      </c>
      <c r="BQ34" s="691">
        <f t="shared" si="7"/>
        <v>5497558138.8800001</v>
      </c>
      <c r="BR34" s="691">
        <f t="shared" si="8"/>
        <v>16475494547.456001</v>
      </c>
      <c r="BS34" s="894">
        <f t="shared" ref="BS34:BS35" si="16">BS33</f>
        <v>0.125</v>
      </c>
      <c r="BT34" s="975">
        <f t="shared" si="15"/>
        <v>2059436818.4320002</v>
      </c>
      <c r="BU34" s="691">
        <f t="shared" si="13"/>
        <v>1342531553.5429084</v>
      </c>
      <c r="BV34" s="183">
        <f t="shared" si="9"/>
        <v>0</v>
      </c>
      <c r="BW34" s="949">
        <f t="shared" si="10"/>
        <v>2027</v>
      </c>
    </row>
    <row r="35" spans="1:75" x14ac:dyDescent="0.3">
      <c r="A35" s="2"/>
      <c r="B35" s="2"/>
      <c r="C35" s="122" t="s">
        <v>732</v>
      </c>
      <c r="D35" s="287" t="s">
        <v>1288</v>
      </c>
      <c r="E35" s="7" t="s">
        <v>1289</v>
      </c>
      <c r="F35" s="7"/>
      <c r="G35" s="8"/>
      <c r="AL35" s="38"/>
      <c r="AM35" s="1150" t="s">
        <v>785</v>
      </c>
      <c r="AN35" s="472">
        <f>E11+E5</f>
        <v>5497558138.8800001</v>
      </c>
      <c r="AO35" s="473"/>
      <c r="AP35" s="472">
        <f>BO31</f>
        <v>5497558138.8800001</v>
      </c>
      <c r="AQ35" s="472">
        <f>AP35-AN35</f>
        <v>0</v>
      </c>
      <c r="AR35" s="473"/>
      <c r="AS35" s="563"/>
      <c r="AT35" s="473"/>
      <c r="AU35" s="473"/>
      <c r="AV35" s="473"/>
      <c r="AW35" s="473"/>
      <c r="AX35" s="88"/>
      <c r="AY35" s="88"/>
      <c r="AZ35" s="88"/>
      <c r="BA35" s="88"/>
      <c r="BB35" s="332" t="s">
        <v>989</v>
      </c>
      <c r="BC35" s="953">
        <f t="shared" si="2"/>
        <v>2028</v>
      </c>
      <c r="BD35" s="691">
        <f t="shared" si="3"/>
        <v>101597666724669.69</v>
      </c>
      <c r="BE35" s="894">
        <f t="shared" si="4"/>
        <v>2.5000000000000001E-2</v>
      </c>
      <c r="BF35" s="691">
        <f t="shared" si="5"/>
        <v>2539941668116.7422</v>
      </c>
      <c r="BH35" s="76"/>
      <c r="BI35" s="953">
        <f t="shared" si="6"/>
        <v>2028</v>
      </c>
      <c r="BJ35" s="78">
        <f>BJ20</f>
        <v>10737418.24</v>
      </c>
      <c r="BK35" s="987">
        <v>64</v>
      </c>
      <c r="BL35" s="123">
        <f t="shared" si="0"/>
        <v>687194767.36000001</v>
      </c>
      <c r="BM35" s="977"/>
      <c r="BN35" s="977"/>
      <c r="BO35" s="78">
        <f t="shared" si="14"/>
        <v>0</v>
      </c>
      <c r="BQ35" s="691">
        <f t="shared" si="7"/>
        <v>0</v>
      </c>
      <c r="BR35" s="691">
        <f t="shared" si="8"/>
        <v>16475494547.456001</v>
      </c>
      <c r="BS35" s="894">
        <f t="shared" si="16"/>
        <v>0.125</v>
      </c>
      <c r="BT35" s="975">
        <f t="shared" si="15"/>
        <v>2059436818.4320002</v>
      </c>
      <c r="BU35" s="691">
        <f t="shared" si="13"/>
        <v>1342531553.5429084</v>
      </c>
      <c r="BV35" s="183">
        <f t="shared" si="9"/>
        <v>0</v>
      </c>
      <c r="BW35" s="949">
        <f t="shared" si="10"/>
        <v>2028</v>
      </c>
    </row>
    <row r="36" spans="1:75" x14ac:dyDescent="0.3">
      <c r="A36" s="690"/>
      <c r="B36" s="690"/>
      <c r="C36" s="1151">
        <v>32</v>
      </c>
      <c r="D36" s="411">
        <f>'POP Dimensions'!J15</f>
        <v>21474836.48</v>
      </c>
      <c r="E36" s="411">
        <f>C36*D36</f>
        <v>687194767.36000001</v>
      </c>
      <c r="F36" s="896"/>
      <c r="G36" s="902" t="s">
        <v>732</v>
      </c>
      <c r="AL36" s="38"/>
      <c r="AM36" s="1206" t="s">
        <v>1445</v>
      </c>
      <c r="AN36" s="1207">
        <v>0</v>
      </c>
      <c r="AO36" s="88"/>
      <c r="AP36" s="511"/>
      <c r="AQ36" s="511"/>
      <c r="AR36" s="88"/>
      <c r="AS36" s="181"/>
      <c r="AT36" s="88"/>
      <c r="AU36" s="88"/>
      <c r="AV36" s="616">
        <f>AS47*AX47</f>
        <v>243413685761.43161</v>
      </c>
      <c r="AW36" s="617" t="s">
        <v>778</v>
      </c>
      <c r="AX36" s="88"/>
      <c r="AY36" s="88"/>
      <c r="AZ36" s="88"/>
      <c r="BA36" s="88"/>
      <c r="BB36" s="332" t="s">
        <v>989</v>
      </c>
      <c r="BC36" s="953">
        <f>BC35+1</f>
        <v>2029</v>
      </c>
      <c r="BD36" s="691">
        <f>BD35+BF35</f>
        <v>104137608392786.44</v>
      </c>
      <c r="BE36" s="894">
        <f>BE35</f>
        <v>2.5000000000000001E-2</v>
      </c>
      <c r="BF36" s="691">
        <f>BD36*BE36</f>
        <v>2603440209819.6611</v>
      </c>
      <c r="BH36" s="76"/>
      <c r="BI36" s="953">
        <f>BI35+1</f>
        <v>2029</v>
      </c>
      <c r="BJ36" s="78">
        <f>BJ20</f>
        <v>10737418.24</v>
      </c>
      <c r="BK36" s="987">
        <v>64</v>
      </c>
      <c r="BL36" s="123">
        <f>BK36*BJ36</f>
        <v>687194767.36000001</v>
      </c>
      <c r="BM36" s="977"/>
      <c r="BN36" s="977"/>
      <c r="BO36" s="78">
        <f>BL36*BM36</f>
        <v>0</v>
      </c>
      <c r="BQ36" s="691">
        <f t="shared" ref="BQ36:BQ55" si="17">BO36</f>
        <v>0</v>
      </c>
      <c r="BR36" s="691">
        <f>BQ36+BR35-BV36</f>
        <v>16475494547.456001</v>
      </c>
      <c r="BS36" s="894">
        <f t="shared" ref="BS36:BS55" si="18">BS35</f>
        <v>0.125</v>
      </c>
      <c r="BT36" s="975">
        <f t="shared" ref="BT36:BT55" si="19">BR36*BS36</f>
        <v>2059436818.4320002</v>
      </c>
      <c r="BU36" s="691">
        <f t="shared" ref="BU36:BU55" si="20">BU35</f>
        <v>1342531553.5429084</v>
      </c>
      <c r="BV36" s="183">
        <f>BL36*BN36</f>
        <v>0</v>
      </c>
      <c r="BW36" s="949">
        <f t="shared" ref="BW36:BW55" si="21">BW35+1</f>
        <v>2029</v>
      </c>
    </row>
    <row r="37" spans="1:75" x14ac:dyDescent="0.3">
      <c r="A37" s="690"/>
      <c r="B37" s="690"/>
      <c r="C37" s="1152">
        <f>C36*2</f>
        <v>64</v>
      </c>
      <c r="D37" s="897">
        <f>D36</f>
        <v>21474836.48</v>
      </c>
      <c r="E37" s="897">
        <f t="shared" ref="E37:E43" si="22">C37*D37</f>
        <v>1374389534.72</v>
      </c>
      <c r="F37" s="874"/>
      <c r="G37" s="903" t="s">
        <v>732</v>
      </c>
      <c r="AL37" s="38"/>
      <c r="AM37" s="1206" t="s">
        <v>1444</v>
      </c>
      <c r="AN37" s="1207">
        <v>0</v>
      </c>
      <c r="AO37" s="88"/>
      <c r="AP37" s="511"/>
      <c r="AQ37" s="511"/>
      <c r="AR37" s="88"/>
      <c r="AS37" s="181"/>
      <c r="AT37" s="88"/>
      <c r="AU37" s="88"/>
      <c r="AV37" s="616"/>
      <c r="AW37" s="617"/>
      <c r="AX37" s="88"/>
      <c r="AY37" s="88"/>
      <c r="AZ37" s="88"/>
      <c r="BA37" s="88"/>
      <c r="BB37" s="332" t="s">
        <v>989</v>
      </c>
      <c r="BC37" s="953">
        <f>BC36+1</f>
        <v>2030</v>
      </c>
      <c r="BD37" s="691">
        <f>BD36+BF36</f>
        <v>106741048602606.09</v>
      </c>
      <c r="BE37" s="894">
        <f>BE36</f>
        <v>2.5000000000000001E-2</v>
      </c>
      <c r="BF37" s="691">
        <f>BD37*BE37</f>
        <v>2668526215065.1523</v>
      </c>
      <c r="BH37" s="76"/>
      <c r="BI37" s="953">
        <f>BI36+1</f>
        <v>2030</v>
      </c>
      <c r="BJ37" s="78">
        <f>BJ20</f>
        <v>10737418.24</v>
      </c>
      <c r="BK37" s="987">
        <v>64</v>
      </c>
      <c r="BL37" s="123">
        <f t="shared" ref="BL37:BL43" si="23">BK37*BJ37</f>
        <v>687194767.36000001</v>
      </c>
      <c r="BM37" s="977"/>
      <c r="BN37" s="977"/>
      <c r="BO37" s="78">
        <f t="shared" ref="BO37:BO43" si="24">BL37*BM37</f>
        <v>0</v>
      </c>
      <c r="BQ37" s="691">
        <f t="shared" si="17"/>
        <v>0</v>
      </c>
      <c r="BR37" s="691">
        <f>BQ37+BR36-BV37</f>
        <v>16475494547.456001</v>
      </c>
      <c r="BS37" s="894">
        <f t="shared" si="18"/>
        <v>0.125</v>
      </c>
      <c r="BT37" s="975">
        <f t="shared" si="19"/>
        <v>2059436818.4320002</v>
      </c>
      <c r="BU37" s="691">
        <f t="shared" si="20"/>
        <v>1342531553.5429084</v>
      </c>
      <c r="BV37" s="183">
        <f>BL37*BN37</f>
        <v>0</v>
      </c>
      <c r="BW37" s="949">
        <f t="shared" si="21"/>
        <v>2030</v>
      </c>
    </row>
    <row r="38" spans="1:75" x14ac:dyDescent="0.3">
      <c r="A38" s="2"/>
      <c r="B38" s="2"/>
      <c r="C38" s="1121">
        <f>C37*2</f>
        <v>128</v>
      </c>
      <c r="D38" s="123">
        <f t="shared" ref="D38:D43" si="25">D37</f>
        <v>21474836.48</v>
      </c>
      <c r="E38" s="123">
        <f t="shared" si="22"/>
        <v>2748779069.4400001</v>
      </c>
      <c r="F38" s="410"/>
      <c r="G38" s="126" t="s">
        <v>732</v>
      </c>
      <c r="AI38" s="1162" t="s">
        <v>1435</v>
      </c>
      <c r="AJ38" s="1160"/>
      <c r="AK38" s="1160"/>
      <c r="AL38" s="1160"/>
      <c r="AM38" s="1161" t="s">
        <v>1284</v>
      </c>
      <c r="AN38" s="1164">
        <v>0</v>
      </c>
      <c r="AO38" s="88"/>
      <c r="AP38" s="88"/>
      <c r="AQ38" s="253"/>
      <c r="AR38" s="88"/>
      <c r="AS38" s="181"/>
      <c r="BB38" s="332" t="s">
        <v>989</v>
      </c>
      <c r="BC38" s="953">
        <f>BC37+1</f>
        <v>2031</v>
      </c>
      <c r="BD38" s="691">
        <f>BD37+BF37</f>
        <v>109409574817671.25</v>
      </c>
      <c r="BE38" s="894">
        <f>BE37</f>
        <v>2.5000000000000001E-2</v>
      </c>
      <c r="BF38" s="691">
        <f>BD38*BE38</f>
        <v>2735239370441.7813</v>
      </c>
      <c r="BH38" s="76"/>
      <c r="BI38" s="953">
        <f t="shared" ref="BI38:BI43" si="26">BI37+1</f>
        <v>2031</v>
      </c>
      <c r="BJ38" s="78">
        <f>BJ20</f>
        <v>10737418.24</v>
      </c>
      <c r="BK38" s="987">
        <v>64</v>
      </c>
      <c r="BL38" s="123">
        <f t="shared" si="23"/>
        <v>687194767.36000001</v>
      </c>
      <c r="BM38" s="977"/>
      <c r="BN38" s="977"/>
      <c r="BO38" s="78">
        <f t="shared" si="24"/>
        <v>0</v>
      </c>
      <c r="BQ38" s="691">
        <f t="shared" si="17"/>
        <v>0</v>
      </c>
      <c r="BR38" s="691">
        <f t="shared" ref="BR38:BR55" si="27">BQ38+BR37-BV38</f>
        <v>16475494547.456001</v>
      </c>
      <c r="BS38" s="894">
        <f t="shared" si="18"/>
        <v>0.125</v>
      </c>
      <c r="BT38" s="975">
        <f t="shared" si="19"/>
        <v>2059436818.4320002</v>
      </c>
      <c r="BU38" s="691">
        <f t="shared" si="20"/>
        <v>1342531553.5429084</v>
      </c>
      <c r="BV38" s="183">
        <f t="shared" ref="BV38:BV55" si="28">BL38*BN38</f>
        <v>0</v>
      </c>
      <c r="BW38" s="949">
        <f t="shared" si="21"/>
        <v>2031</v>
      </c>
    </row>
    <row r="39" spans="1:75" x14ac:dyDescent="0.3">
      <c r="A39" s="2"/>
      <c r="B39" s="2"/>
      <c r="C39" s="1151">
        <f>C38*2</f>
        <v>256</v>
      </c>
      <c r="D39" s="411">
        <f t="shared" si="25"/>
        <v>21474836.48</v>
      </c>
      <c r="E39" s="411">
        <f t="shared" si="22"/>
        <v>5497558138.8800001</v>
      </c>
      <c r="F39" s="896"/>
      <c r="G39" s="902" t="s">
        <v>732</v>
      </c>
      <c r="AI39" s="1163" t="s">
        <v>1436</v>
      </c>
      <c r="AM39" s="1155" t="s">
        <v>1279</v>
      </c>
      <c r="AN39" s="1164">
        <v>0</v>
      </c>
      <c r="AO39" s="88"/>
      <c r="AP39" s="88"/>
      <c r="AQ39" s="253"/>
      <c r="AR39" s="88"/>
      <c r="AS39" s="181"/>
      <c r="AV39" s="616"/>
      <c r="AW39" s="617"/>
      <c r="BB39" s="332" t="s">
        <v>989</v>
      </c>
      <c r="BC39" s="953">
        <f>BC38+1</f>
        <v>2032</v>
      </c>
      <c r="BD39" s="78">
        <f>BD38+BF38</f>
        <v>112144814188113.03</v>
      </c>
      <c r="BE39" s="894">
        <f>BE38</f>
        <v>2.5000000000000001E-2</v>
      </c>
      <c r="BF39" s="78">
        <f>BD39*BE39</f>
        <v>2803620354702.8262</v>
      </c>
      <c r="BG39" s="895" t="s">
        <v>1281</v>
      </c>
      <c r="BH39" s="76"/>
      <c r="BI39" s="953">
        <f t="shared" si="26"/>
        <v>2032</v>
      </c>
      <c r="BJ39" s="78">
        <f t="shared" ref="BJ39:BJ46" si="29">BJ29</f>
        <v>10737418.24</v>
      </c>
      <c r="BK39" s="987">
        <v>64</v>
      </c>
      <c r="BL39" s="123">
        <f t="shared" si="23"/>
        <v>687194767.36000001</v>
      </c>
      <c r="BM39" s="977"/>
      <c r="BN39" s="977"/>
      <c r="BO39" s="78">
        <f t="shared" si="24"/>
        <v>0</v>
      </c>
      <c r="BQ39" s="691">
        <f t="shared" si="17"/>
        <v>0</v>
      </c>
      <c r="BR39" s="691">
        <f t="shared" si="27"/>
        <v>16475494547.456001</v>
      </c>
      <c r="BS39" s="894">
        <f t="shared" si="18"/>
        <v>0.125</v>
      </c>
      <c r="BT39" s="975">
        <f t="shared" si="19"/>
        <v>2059436818.4320002</v>
      </c>
      <c r="BU39" s="691">
        <f t="shared" si="20"/>
        <v>1342531553.5429084</v>
      </c>
      <c r="BV39" s="183">
        <f t="shared" si="28"/>
        <v>0</v>
      </c>
      <c r="BW39" s="949">
        <f t="shared" si="21"/>
        <v>2032</v>
      </c>
    </row>
    <row r="40" spans="1:75" x14ac:dyDescent="0.3">
      <c r="A40" s="2"/>
      <c r="B40" s="2"/>
      <c r="C40" s="1152">
        <f t="shared" ref="C40:C43" si="30">C39*2</f>
        <v>512</v>
      </c>
      <c r="D40" s="897">
        <f t="shared" si="25"/>
        <v>21474836.48</v>
      </c>
      <c r="E40" s="897">
        <f t="shared" si="22"/>
        <v>10995116277.76</v>
      </c>
      <c r="F40" s="874"/>
      <c r="G40" s="903" t="s">
        <v>732</v>
      </c>
      <c r="AM40" s="1156" t="s">
        <v>1277</v>
      </c>
      <c r="AN40" s="1164">
        <v>0</v>
      </c>
      <c r="AO40" s="88"/>
      <c r="AP40" s="88"/>
      <c r="AQ40" s="253"/>
      <c r="AR40" s="88"/>
      <c r="AS40" s="181"/>
      <c r="AV40" s="616"/>
      <c r="AW40" s="617"/>
      <c r="BB40" s="332" t="s">
        <v>989</v>
      </c>
      <c r="BC40" s="953">
        <f t="shared" ref="BC40:BC42" si="31">BC39+1</f>
        <v>2033</v>
      </c>
      <c r="BD40" s="78">
        <f t="shared" ref="BD40:BD41" si="32">BD39+BF39</f>
        <v>114948434542815.86</v>
      </c>
      <c r="BE40" s="894">
        <f t="shared" ref="BE40:BE42" si="33">BE39</f>
        <v>2.5000000000000001E-2</v>
      </c>
      <c r="BF40" s="78">
        <f t="shared" ref="BF40:BF41" si="34">BD40*BE40</f>
        <v>2873710863570.3965</v>
      </c>
      <c r="BH40" s="76"/>
      <c r="BI40" s="953">
        <f t="shared" si="26"/>
        <v>2033</v>
      </c>
      <c r="BJ40" s="78">
        <f t="shared" si="29"/>
        <v>10737418.24</v>
      </c>
      <c r="BK40" s="987">
        <v>64</v>
      </c>
      <c r="BL40" s="123">
        <f t="shared" si="23"/>
        <v>687194767.36000001</v>
      </c>
      <c r="BM40" s="969"/>
      <c r="BN40" s="977"/>
      <c r="BO40" s="78">
        <f t="shared" si="24"/>
        <v>0</v>
      </c>
      <c r="BQ40" s="691">
        <f t="shared" si="17"/>
        <v>0</v>
      </c>
      <c r="BR40" s="691">
        <f t="shared" si="27"/>
        <v>16475494547.456001</v>
      </c>
      <c r="BS40" s="894">
        <f t="shared" si="18"/>
        <v>0.125</v>
      </c>
      <c r="BT40" s="975">
        <f t="shared" si="19"/>
        <v>2059436818.4320002</v>
      </c>
      <c r="BU40" s="691">
        <f t="shared" si="20"/>
        <v>1342531553.5429084</v>
      </c>
      <c r="BV40" s="183">
        <f t="shared" si="28"/>
        <v>0</v>
      </c>
      <c r="BW40" s="949">
        <f t="shared" si="21"/>
        <v>2033</v>
      </c>
    </row>
    <row r="41" spans="1:75" x14ac:dyDescent="0.3">
      <c r="A41" s="2"/>
      <c r="B41" s="2"/>
      <c r="C41" s="1121">
        <f t="shared" si="30"/>
        <v>1024</v>
      </c>
      <c r="D41" s="123">
        <f t="shared" si="25"/>
        <v>21474836.48</v>
      </c>
      <c r="E41" s="123">
        <f t="shared" si="22"/>
        <v>21990232555.52</v>
      </c>
      <c r="F41" s="410"/>
      <c r="G41" s="126" t="s">
        <v>732</v>
      </c>
      <c r="AK41" s="173" t="s">
        <v>1433</v>
      </c>
      <c r="AL41" s="1158"/>
      <c r="AM41" s="1159" t="s">
        <v>1285</v>
      </c>
      <c r="AN41" s="719">
        <v>0</v>
      </c>
      <c r="AO41" s="88"/>
      <c r="AP41" s="88"/>
      <c r="AQ41" s="253"/>
      <c r="AR41" s="88"/>
      <c r="AS41" s="181"/>
      <c r="AV41" s="12" t="s">
        <v>979</v>
      </c>
      <c r="BB41" s="332" t="s">
        <v>989</v>
      </c>
      <c r="BC41" s="953">
        <f t="shared" si="31"/>
        <v>2034</v>
      </c>
      <c r="BD41" s="78">
        <f t="shared" si="32"/>
        <v>117822145406386.25</v>
      </c>
      <c r="BE41" s="894">
        <f t="shared" si="33"/>
        <v>2.5000000000000001E-2</v>
      </c>
      <c r="BF41" s="78">
        <f t="shared" si="34"/>
        <v>2945553635159.6563</v>
      </c>
      <c r="BH41" s="76"/>
      <c r="BI41" s="953">
        <f t="shared" si="26"/>
        <v>2034</v>
      </c>
      <c r="BJ41" s="78">
        <f t="shared" si="29"/>
        <v>10737418.24</v>
      </c>
      <c r="BK41" s="987">
        <v>64</v>
      </c>
      <c r="BL41" s="123">
        <f t="shared" si="23"/>
        <v>687194767.36000001</v>
      </c>
      <c r="BM41" s="969"/>
      <c r="BN41" s="977">
        <v>8</v>
      </c>
      <c r="BO41" s="78">
        <f t="shared" si="24"/>
        <v>0</v>
      </c>
      <c r="BQ41" s="691">
        <f t="shared" si="17"/>
        <v>0</v>
      </c>
      <c r="BR41" s="691">
        <f t="shared" si="27"/>
        <v>10977936408.576</v>
      </c>
      <c r="BS41" s="894">
        <f t="shared" si="18"/>
        <v>0.125</v>
      </c>
      <c r="BT41" s="975">
        <f t="shared" si="19"/>
        <v>1372242051.072</v>
      </c>
      <c r="BU41" s="691">
        <f t="shared" si="20"/>
        <v>1342531553.5429084</v>
      </c>
      <c r="BV41" s="183">
        <f t="shared" si="28"/>
        <v>5497558138.8800001</v>
      </c>
      <c r="BW41" s="949">
        <f t="shared" si="21"/>
        <v>2034</v>
      </c>
    </row>
    <row r="42" spans="1:75" x14ac:dyDescent="0.3">
      <c r="A42" s="2"/>
      <c r="B42" s="2"/>
      <c r="C42" s="1153">
        <f t="shared" si="30"/>
        <v>2048</v>
      </c>
      <c r="D42" s="899">
        <f t="shared" si="25"/>
        <v>21474836.48</v>
      </c>
      <c r="E42" s="899">
        <f t="shared" si="22"/>
        <v>43980465111.040001</v>
      </c>
      <c r="F42" s="898"/>
      <c r="G42" s="905" t="s">
        <v>732</v>
      </c>
      <c r="AK42" s="618" t="s">
        <v>1434</v>
      </c>
      <c r="AM42" s="1155" t="s">
        <v>1278</v>
      </c>
      <c r="AN42" s="1164">
        <v>0</v>
      </c>
      <c r="AO42" s="88"/>
      <c r="AP42" s="88"/>
      <c r="AQ42" s="253"/>
      <c r="AR42" s="88"/>
      <c r="AS42" s="181"/>
      <c r="AV42" s="12"/>
      <c r="BB42" s="332" t="s">
        <v>989</v>
      </c>
      <c r="BC42" s="953">
        <f t="shared" si="31"/>
        <v>2035</v>
      </c>
      <c r="BD42" s="78">
        <f t="shared" ref="BD42" si="35">BD41+BF41</f>
        <v>120767699041545.91</v>
      </c>
      <c r="BE42" s="894">
        <f t="shared" si="33"/>
        <v>2.5000000000000001E-2</v>
      </c>
      <c r="BF42" s="78">
        <f t="shared" ref="BF42" si="36">BD42*BE42</f>
        <v>3019192476038.6479</v>
      </c>
      <c r="BH42" s="76"/>
      <c r="BI42" s="953">
        <f t="shared" si="26"/>
        <v>2035</v>
      </c>
      <c r="BJ42" s="78">
        <f t="shared" si="29"/>
        <v>10737418.24</v>
      </c>
      <c r="BK42" s="987">
        <v>64</v>
      </c>
      <c r="BL42" s="123">
        <f t="shared" si="23"/>
        <v>687194767.36000001</v>
      </c>
      <c r="BM42" s="969"/>
      <c r="BN42" s="977"/>
      <c r="BO42" s="78">
        <f t="shared" si="24"/>
        <v>0</v>
      </c>
      <c r="BQ42" s="691">
        <f t="shared" si="17"/>
        <v>0</v>
      </c>
      <c r="BR42" s="691">
        <f t="shared" si="27"/>
        <v>10977936408.576</v>
      </c>
      <c r="BS42" s="894">
        <f t="shared" si="18"/>
        <v>0.125</v>
      </c>
      <c r="BT42" s="975">
        <f t="shared" si="19"/>
        <v>1372242051.072</v>
      </c>
      <c r="BU42" s="691">
        <f t="shared" si="20"/>
        <v>1342531553.5429084</v>
      </c>
      <c r="BV42" s="183">
        <f t="shared" si="28"/>
        <v>0</v>
      </c>
      <c r="BW42" s="949">
        <f t="shared" si="21"/>
        <v>2035</v>
      </c>
    </row>
    <row r="43" spans="1:75" x14ac:dyDescent="0.3">
      <c r="A43" s="2"/>
      <c r="B43" s="2"/>
      <c r="C43" s="1154">
        <f t="shared" si="30"/>
        <v>4096</v>
      </c>
      <c r="D43" s="906">
        <f t="shared" si="25"/>
        <v>21474836.48</v>
      </c>
      <c r="E43" s="906">
        <f t="shared" si="22"/>
        <v>87960930222.080002</v>
      </c>
      <c r="F43" s="907"/>
      <c r="G43" s="908" t="s">
        <v>732</v>
      </c>
      <c r="AM43" s="1155" t="s">
        <v>1161</v>
      </c>
      <c r="AN43" s="1164">
        <v>0</v>
      </c>
      <c r="AO43" s="88"/>
      <c r="AP43" s="88"/>
      <c r="AQ43" s="253"/>
      <c r="AR43" s="88"/>
      <c r="AS43" s="181"/>
      <c r="AV43" s="12"/>
      <c r="BB43" s="332" t="s">
        <v>989</v>
      </c>
      <c r="BC43" s="953">
        <f t="shared" ref="BC43:BC55" si="37">BC42+1</f>
        <v>2036</v>
      </c>
      <c r="BD43" s="78">
        <f t="shared" ref="BD43:BD50" si="38">BD42+BF42</f>
        <v>123786891517584.55</v>
      </c>
      <c r="BE43" s="894">
        <f t="shared" ref="BE43:BE55" si="39">BE42</f>
        <v>2.5000000000000001E-2</v>
      </c>
      <c r="BF43" s="78">
        <f t="shared" ref="BF43:BF50" si="40">BD43*BE43</f>
        <v>3094672287939.6138</v>
      </c>
      <c r="BH43" s="76"/>
      <c r="BI43" s="953">
        <f t="shared" si="26"/>
        <v>2036</v>
      </c>
      <c r="BJ43" s="78">
        <f t="shared" si="29"/>
        <v>10737418.24</v>
      </c>
      <c r="BK43" s="987">
        <v>64</v>
      </c>
      <c r="BL43" s="123">
        <f t="shared" si="23"/>
        <v>687194767.36000001</v>
      </c>
      <c r="BM43" s="969"/>
      <c r="BN43" s="977"/>
      <c r="BO43" s="78">
        <f t="shared" si="24"/>
        <v>0</v>
      </c>
      <c r="BQ43" s="691">
        <f t="shared" si="17"/>
        <v>0</v>
      </c>
      <c r="BR43" s="691">
        <f t="shared" si="27"/>
        <v>10977936408.576</v>
      </c>
      <c r="BS43" s="894">
        <f t="shared" si="18"/>
        <v>0.125</v>
      </c>
      <c r="BT43" s="975">
        <f t="shared" si="19"/>
        <v>1372242051.072</v>
      </c>
      <c r="BU43" s="691">
        <f t="shared" si="20"/>
        <v>1342531553.5429084</v>
      </c>
      <c r="BV43" s="183">
        <f t="shared" si="28"/>
        <v>0</v>
      </c>
      <c r="BW43" s="949">
        <f t="shared" si="21"/>
        <v>2036</v>
      </c>
    </row>
    <row r="44" spans="1:75" x14ac:dyDescent="0.3">
      <c r="A44" s="2"/>
      <c r="B44" s="2"/>
      <c r="AK44" s="1162" t="s">
        <v>1433</v>
      </c>
      <c r="AL44" s="1160"/>
      <c r="AM44" s="1161" t="s">
        <v>1249</v>
      </c>
      <c r="AN44" s="1164">
        <v>0</v>
      </c>
      <c r="AO44" s="88"/>
      <c r="AP44" s="88"/>
      <c r="AQ44" s="253"/>
      <c r="AR44" s="88"/>
      <c r="AS44" s="181"/>
      <c r="AV44" s="12"/>
      <c r="BB44" s="332" t="s">
        <v>989</v>
      </c>
      <c r="BC44" s="953">
        <f t="shared" si="37"/>
        <v>2037</v>
      </c>
      <c r="BD44" s="78">
        <f t="shared" si="38"/>
        <v>126881563805524.16</v>
      </c>
      <c r="BE44" s="894">
        <f t="shared" si="39"/>
        <v>2.5000000000000001E-2</v>
      </c>
      <c r="BF44" s="78">
        <f t="shared" si="40"/>
        <v>3172039095138.104</v>
      </c>
      <c r="BH44" s="76"/>
      <c r="BI44" s="953">
        <f t="shared" ref="BI44:BI50" si="41">BI43+1</f>
        <v>2037</v>
      </c>
      <c r="BJ44" s="78">
        <f t="shared" si="29"/>
        <v>10737418.24</v>
      </c>
      <c r="BK44" s="987">
        <v>64</v>
      </c>
      <c r="BL44" s="123">
        <f t="shared" ref="BL44:BL50" si="42">BK44*BJ44</f>
        <v>687194767.36000001</v>
      </c>
      <c r="BM44" s="969"/>
      <c r="BN44" s="977"/>
      <c r="BO44" s="78">
        <f t="shared" ref="BO44:BO50" si="43">BL44*BM44</f>
        <v>0</v>
      </c>
      <c r="BQ44" s="691">
        <f t="shared" si="17"/>
        <v>0</v>
      </c>
      <c r="BR44" s="691">
        <f t="shared" si="27"/>
        <v>10977936408.576</v>
      </c>
      <c r="BS44" s="894">
        <f t="shared" si="18"/>
        <v>0.125</v>
      </c>
      <c r="BT44" s="975">
        <f t="shared" si="19"/>
        <v>1372242051.072</v>
      </c>
      <c r="BU44" s="691">
        <f t="shared" si="20"/>
        <v>1342531553.5429084</v>
      </c>
      <c r="BV44" s="183">
        <f t="shared" si="28"/>
        <v>0</v>
      </c>
      <c r="BW44" s="949">
        <f t="shared" si="21"/>
        <v>2037</v>
      </c>
    </row>
    <row r="45" spans="1:75" x14ac:dyDescent="0.3">
      <c r="A45" s="2"/>
      <c r="B45" s="2"/>
      <c r="AK45" s="1163" t="s">
        <v>1437</v>
      </c>
      <c r="AM45" s="1157" t="s">
        <v>148</v>
      </c>
      <c r="AN45" s="1164">
        <v>0</v>
      </c>
      <c r="AO45" s="88"/>
      <c r="AP45" s="88"/>
      <c r="AQ45" s="253"/>
      <c r="AR45" s="88"/>
      <c r="AS45" s="181"/>
      <c r="AV45" s="12"/>
      <c r="BB45" s="332" t="s">
        <v>989</v>
      </c>
      <c r="BC45" s="953">
        <f t="shared" si="37"/>
        <v>2038</v>
      </c>
      <c r="BD45" s="78">
        <f t="shared" si="38"/>
        <v>130053602900662.27</v>
      </c>
      <c r="BE45" s="894">
        <f t="shared" si="39"/>
        <v>2.5000000000000001E-2</v>
      </c>
      <c r="BF45" s="78">
        <f t="shared" si="40"/>
        <v>3251340072516.5566</v>
      </c>
      <c r="BH45" s="76"/>
      <c r="BI45" s="953">
        <f t="shared" si="41"/>
        <v>2038</v>
      </c>
      <c r="BJ45" s="78">
        <f t="shared" si="29"/>
        <v>10737418.24</v>
      </c>
      <c r="BK45" s="987">
        <v>64</v>
      </c>
      <c r="BL45" s="123">
        <f t="shared" si="42"/>
        <v>687194767.36000001</v>
      </c>
      <c r="BM45" s="969"/>
      <c r="BN45" s="977">
        <v>8</v>
      </c>
      <c r="BO45" s="78">
        <f t="shared" si="43"/>
        <v>0</v>
      </c>
      <c r="BQ45" s="691">
        <f t="shared" si="17"/>
        <v>0</v>
      </c>
      <c r="BR45" s="691">
        <f t="shared" si="27"/>
        <v>5480378269.6960001</v>
      </c>
      <c r="BS45" s="894">
        <f t="shared" si="18"/>
        <v>0.125</v>
      </c>
      <c r="BT45" s="975">
        <f t="shared" si="19"/>
        <v>685047283.71200001</v>
      </c>
      <c r="BU45" s="691">
        <f t="shared" si="20"/>
        <v>1342531553.5429084</v>
      </c>
      <c r="BV45" s="183">
        <f t="shared" si="28"/>
        <v>5497558138.8800001</v>
      </c>
      <c r="BW45" s="949">
        <f t="shared" si="21"/>
        <v>2038</v>
      </c>
    </row>
    <row r="46" spans="1:75" x14ac:dyDescent="0.3">
      <c r="A46" s="2"/>
      <c r="B46" s="2"/>
      <c r="AM46" s="1150" t="s">
        <v>948</v>
      </c>
      <c r="AN46" s="645">
        <v>0</v>
      </c>
      <c r="AO46" s="88"/>
      <c r="AP46" s="88"/>
      <c r="AQ46" s="253"/>
      <c r="AR46" s="88"/>
      <c r="AS46" s="181" t="s">
        <v>805</v>
      </c>
      <c r="AT46" s="1" t="s">
        <v>998</v>
      </c>
      <c r="AV46" s="19">
        <v>0.01</v>
      </c>
      <c r="BB46" s="332" t="s">
        <v>989</v>
      </c>
      <c r="BC46" s="953">
        <f t="shared" si="37"/>
        <v>2039</v>
      </c>
      <c r="BD46" s="78">
        <f t="shared" si="38"/>
        <v>133304942973178.83</v>
      </c>
      <c r="BE46" s="894">
        <f t="shared" si="39"/>
        <v>2.5000000000000001E-2</v>
      </c>
      <c r="BF46" s="78">
        <f t="shared" si="40"/>
        <v>3332623574329.4707</v>
      </c>
      <c r="BH46" s="76"/>
      <c r="BI46" s="953">
        <f t="shared" si="41"/>
        <v>2039</v>
      </c>
      <c r="BJ46" s="78">
        <f t="shared" si="29"/>
        <v>10737418.24</v>
      </c>
      <c r="BK46" s="987">
        <v>64</v>
      </c>
      <c r="BL46" s="123">
        <f t="shared" si="42"/>
        <v>687194767.36000001</v>
      </c>
      <c r="BM46" s="969"/>
      <c r="BN46" s="977"/>
      <c r="BO46" s="78">
        <f t="shared" si="43"/>
        <v>0</v>
      </c>
      <c r="BQ46" s="691">
        <f t="shared" si="17"/>
        <v>0</v>
      </c>
      <c r="BR46" s="691">
        <f t="shared" si="27"/>
        <v>5480378269.6960001</v>
      </c>
      <c r="BS46" s="894">
        <f t="shared" si="18"/>
        <v>0.125</v>
      </c>
      <c r="BT46" s="975">
        <f t="shared" si="19"/>
        <v>685047283.71200001</v>
      </c>
      <c r="BU46" s="691">
        <f t="shared" si="20"/>
        <v>1342531553.5429084</v>
      </c>
      <c r="BV46" s="183">
        <f t="shared" si="28"/>
        <v>0</v>
      </c>
      <c r="BW46" s="949">
        <f t="shared" si="21"/>
        <v>2039</v>
      </c>
    </row>
    <row r="47" spans="1:75" x14ac:dyDescent="0.3">
      <c r="K47" s="2"/>
      <c r="AM47" s="122" t="s">
        <v>1385</v>
      </c>
      <c r="AN47" s="183">
        <f>SUM(AN35:AN46)</f>
        <v>5497558138.8800001</v>
      </c>
      <c r="AO47" s="251"/>
      <c r="AP47" s="76" t="s">
        <v>805</v>
      </c>
      <c r="AQ47" s="78">
        <f>AE82</f>
        <v>6630548568.2489748</v>
      </c>
      <c r="AR47" s="76"/>
      <c r="AS47" s="78">
        <f>AQ47</f>
        <v>6630548568.2489748</v>
      </c>
      <c r="AT47" s="78">
        <f>BD31</f>
        <v>92042471679365.094</v>
      </c>
      <c r="AU47" s="76"/>
      <c r="AV47" s="564">
        <f>AT47*AV46</f>
        <v>920424716793.651</v>
      </c>
      <c r="AW47" s="76"/>
      <c r="AX47" s="208">
        <f>AV47/AS60</f>
        <v>36.710942278145986</v>
      </c>
      <c r="AY47" s="76"/>
      <c r="AZ47" s="76"/>
      <c r="BA47" s="76"/>
      <c r="BB47" s="332" t="s">
        <v>989</v>
      </c>
      <c r="BC47" s="953">
        <f t="shared" si="37"/>
        <v>2040</v>
      </c>
      <c r="BD47" s="78">
        <f t="shared" si="38"/>
        <v>136637566547508.3</v>
      </c>
      <c r="BE47" s="894">
        <f t="shared" si="39"/>
        <v>2.5000000000000001E-2</v>
      </c>
      <c r="BF47" s="78">
        <f t="shared" si="40"/>
        <v>3415939163687.7075</v>
      </c>
      <c r="BH47" s="76"/>
      <c r="BI47" s="953">
        <f t="shared" si="41"/>
        <v>2040</v>
      </c>
      <c r="BJ47" s="78">
        <f t="shared" ref="BJ47:BJ52" si="44">BJ37</f>
        <v>10737418.24</v>
      </c>
      <c r="BK47" s="987">
        <v>64</v>
      </c>
      <c r="BL47" s="123">
        <f t="shared" si="42"/>
        <v>687194767.36000001</v>
      </c>
      <c r="BM47" s="969"/>
      <c r="BN47" s="977"/>
      <c r="BO47" s="78">
        <f t="shared" si="43"/>
        <v>0</v>
      </c>
      <c r="BQ47" s="691">
        <f t="shared" si="17"/>
        <v>0</v>
      </c>
      <c r="BR47" s="691">
        <f t="shared" si="27"/>
        <v>5480378269.6960001</v>
      </c>
      <c r="BS47" s="894">
        <f t="shared" si="18"/>
        <v>0.125</v>
      </c>
      <c r="BT47" s="975">
        <f t="shared" si="19"/>
        <v>685047283.71200001</v>
      </c>
      <c r="BU47" s="691">
        <f t="shared" si="20"/>
        <v>1342531553.5429084</v>
      </c>
      <c r="BV47" s="183">
        <f t="shared" si="28"/>
        <v>0</v>
      </c>
      <c r="BW47" s="949">
        <f t="shared" si="21"/>
        <v>2040</v>
      </c>
    </row>
    <row r="48" spans="1:75" ht="16.2" thickBot="1" x14ac:dyDescent="0.35">
      <c r="AM48" s="1150" t="s">
        <v>309</v>
      </c>
      <c r="AN48" s="182">
        <f>AN47*AN34</f>
        <v>27873084031.26181</v>
      </c>
      <c r="AR48" s="565" t="s">
        <v>894</v>
      </c>
      <c r="AS48" s="208">
        <f>AS32/AS47</f>
        <v>2.7813186794096452</v>
      </c>
      <c r="AT48" s="367"/>
      <c r="AV48" s="192">
        <f>AS60</f>
        <v>25072217155.852726</v>
      </c>
      <c r="AW48" s="193"/>
      <c r="AX48" s="1" t="s">
        <v>1339</v>
      </c>
      <c r="BB48" s="332" t="s">
        <v>989</v>
      </c>
      <c r="BC48" s="953">
        <f t="shared" si="37"/>
        <v>2041</v>
      </c>
      <c r="BD48" s="78">
        <f t="shared" si="38"/>
        <v>140053505711196</v>
      </c>
      <c r="BE48" s="894">
        <f t="shared" si="39"/>
        <v>2.5000000000000001E-2</v>
      </c>
      <c r="BF48" s="78">
        <f t="shared" si="40"/>
        <v>3501337642779.9004</v>
      </c>
      <c r="BH48" s="76"/>
      <c r="BI48" s="953">
        <f t="shared" si="41"/>
        <v>2041</v>
      </c>
      <c r="BJ48" s="78">
        <f t="shared" si="44"/>
        <v>10737418.24</v>
      </c>
      <c r="BK48" s="987">
        <v>64</v>
      </c>
      <c r="BL48" s="123">
        <f t="shared" si="42"/>
        <v>687194767.36000001</v>
      </c>
      <c r="BM48" s="969"/>
      <c r="BN48" s="977"/>
      <c r="BO48" s="78">
        <f t="shared" si="43"/>
        <v>0</v>
      </c>
      <c r="BQ48" s="691">
        <f t="shared" si="17"/>
        <v>0</v>
      </c>
      <c r="BR48" s="691">
        <f t="shared" si="27"/>
        <v>5480378269.6960001</v>
      </c>
      <c r="BS48" s="894">
        <f t="shared" si="18"/>
        <v>0.125</v>
      </c>
      <c r="BT48" s="975">
        <f t="shared" si="19"/>
        <v>685047283.71200001</v>
      </c>
      <c r="BU48" s="691">
        <f t="shared" si="20"/>
        <v>1342531553.5429084</v>
      </c>
      <c r="BV48" s="183">
        <f t="shared" si="28"/>
        <v>0</v>
      </c>
      <c r="BW48" s="949">
        <f t="shared" si="21"/>
        <v>2041</v>
      </c>
    </row>
    <row r="49" spans="3:75" ht="16.2" thickBot="1" x14ac:dyDescent="0.35">
      <c r="C49" s="1" t="s">
        <v>801</v>
      </c>
      <c r="AM49" s="1150" t="s">
        <v>308</v>
      </c>
      <c r="AN49" s="182">
        <f>AN48*AO49</f>
        <v>18441668587.603752</v>
      </c>
      <c r="AO49" s="680">
        <v>0.66163000000000005</v>
      </c>
      <c r="AP49" s="1" t="s">
        <v>1275</v>
      </c>
      <c r="AR49" s="565" t="s">
        <v>888</v>
      </c>
      <c r="AS49" s="953">
        <v>8</v>
      </c>
      <c r="AT49" s="1" t="s">
        <v>889</v>
      </c>
      <c r="AX49" s="1" t="s">
        <v>1340</v>
      </c>
      <c r="BB49" s="332" t="s">
        <v>989</v>
      </c>
      <c r="BC49" s="953">
        <f t="shared" si="37"/>
        <v>2042</v>
      </c>
      <c r="BD49" s="78">
        <f t="shared" si="38"/>
        <v>143554843353975.91</v>
      </c>
      <c r="BE49" s="894">
        <f t="shared" si="39"/>
        <v>2.5000000000000001E-2</v>
      </c>
      <c r="BF49" s="78">
        <f t="shared" si="40"/>
        <v>3588871083849.3979</v>
      </c>
      <c r="BH49" s="76"/>
      <c r="BI49" s="953">
        <f t="shared" si="41"/>
        <v>2042</v>
      </c>
      <c r="BJ49" s="78">
        <f t="shared" si="44"/>
        <v>10737418.24</v>
      </c>
      <c r="BK49" s="987">
        <v>64</v>
      </c>
      <c r="BL49" s="123">
        <f t="shared" si="42"/>
        <v>687194767.36000001</v>
      </c>
      <c r="BM49" s="969"/>
      <c r="BN49" s="977">
        <v>8</v>
      </c>
      <c r="BO49" s="78">
        <f t="shared" si="43"/>
        <v>0</v>
      </c>
      <c r="BQ49" s="691">
        <f t="shared" si="17"/>
        <v>0</v>
      </c>
      <c r="BR49" s="691">
        <f t="shared" si="27"/>
        <v>-17179869.184000015</v>
      </c>
      <c r="BS49" s="894">
        <f t="shared" si="18"/>
        <v>0.125</v>
      </c>
      <c r="BT49" s="975">
        <f t="shared" si="19"/>
        <v>-2147483.6480000019</v>
      </c>
      <c r="BU49" s="691">
        <f t="shared" si="20"/>
        <v>1342531553.5429084</v>
      </c>
      <c r="BV49" s="183">
        <f t="shared" si="28"/>
        <v>5497558138.8800001</v>
      </c>
      <c r="BW49" s="949">
        <f t="shared" si="21"/>
        <v>2042</v>
      </c>
    </row>
    <row r="50" spans="3:75" x14ac:dyDescent="0.3">
      <c r="C50" s="13"/>
      <c r="D50" s="4"/>
      <c r="E50" s="120" t="s">
        <v>275</v>
      </c>
      <c r="F50" s="4"/>
      <c r="G50" s="173" t="s">
        <v>288</v>
      </c>
      <c r="H50" s="462" t="s">
        <v>1367</v>
      </c>
      <c r="I50" s="170" t="s">
        <v>1373</v>
      </c>
      <c r="J50" s="175" t="s">
        <v>297</v>
      </c>
      <c r="K50" s="170" t="s">
        <v>802</v>
      </c>
      <c r="AN50" s="239"/>
      <c r="AP50" s="1" t="s">
        <v>1276</v>
      </c>
      <c r="AR50" s="565" t="s">
        <v>890</v>
      </c>
      <c r="AS50" s="208">
        <f>AS48/AS49</f>
        <v>0.34766483492620565</v>
      </c>
      <c r="BB50" s="332" t="s">
        <v>989</v>
      </c>
      <c r="BC50" s="953">
        <f t="shared" si="37"/>
        <v>2043</v>
      </c>
      <c r="BD50" s="78">
        <f t="shared" si="38"/>
        <v>147143714437825.31</v>
      </c>
      <c r="BE50" s="894">
        <f t="shared" si="39"/>
        <v>2.5000000000000001E-2</v>
      </c>
      <c r="BF50" s="78">
        <f t="shared" si="40"/>
        <v>3678592860945.6328</v>
      </c>
      <c r="BH50" s="76"/>
      <c r="BI50" s="953">
        <f t="shared" si="41"/>
        <v>2043</v>
      </c>
      <c r="BJ50" s="78">
        <f t="shared" si="44"/>
        <v>10737418.24</v>
      </c>
      <c r="BK50" s="987">
        <v>64</v>
      </c>
      <c r="BL50" s="123">
        <f t="shared" si="42"/>
        <v>687194767.36000001</v>
      </c>
      <c r="BM50" s="969"/>
      <c r="BN50" s="977"/>
      <c r="BO50" s="78">
        <f t="shared" si="43"/>
        <v>0</v>
      </c>
      <c r="BQ50" s="691">
        <f t="shared" si="17"/>
        <v>0</v>
      </c>
      <c r="BR50" s="691">
        <f t="shared" si="27"/>
        <v>-17179869.184000015</v>
      </c>
      <c r="BS50" s="894">
        <f t="shared" si="18"/>
        <v>0.125</v>
      </c>
      <c r="BT50" s="975">
        <f t="shared" si="19"/>
        <v>-2147483.6480000019</v>
      </c>
      <c r="BU50" s="691">
        <f t="shared" si="20"/>
        <v>1342531553.5429084</v>
      </c>
      <c r="BV50" s="183">
        <f t="shared" si="28"/>
        <v>0</v>
      </c>
      <c r="BW50" s="949">
        <f t="shared" si="21"/>
        <v>2043</v>
      </c>
    </row>
    <row r="51" spans="3:75" x14ac:dyDescent="0.3">
      <c r="C51" s="122"/>
      <c r="D51" s="7"/>
      <c r="E51" s="123">
        <f>E8</f>
        <v>21474836.48</v>
      </c>
      <c r="F51" s="7"/>
      <c r="G51" s="468" t="s">
        <v>1386</v>
      </c>
      <c r="H51" s="469"/>
      <c r="I51" s="470"/>
      <c r="J51" s="471"/>
      <c r="K51" s="470"/>
      <c r="AN51" s="277" t="s">
        <v>748</v>
      </c>
      <c r="AR51" s="239"/>
      <c r="AS51" s="76"/>
      <c r="BB51" s="332" t="s">
        <v>989</v>
      </c>
      <c r="BC51" s="953">
        <f t="shared" si="37"/>
        <v>2044</v>
      </c>
      <c r="BD51" s="78">
        <f t="shared" ref="BD51" si="45">BD50+BF50</f>
        <v>150822307298770.94</v>
      </c>
      <c r="BE51" s="894">
        <f t="shared" si="39"/>
        <v>2.5000000000000001E-2</v>
      </c>
      <c r="BF51" s="78">
        <f t="shared" ref="BF51" si="46">BD51*BE51</f>
        <v>3770557682469.2734</v>
      </c>
      <c r="BH51" s="76"/>
      <c r="BI51" s="953">
        <f t="shared" ref="BI51:BI55" si="47">BI50+1</f>
        <v>2044</v>
      </c>
      <c r="BJ51" s="78">
        <f t="shared" si="44"/>
        <v>10737418.24</v>
      </c>
      <c r="BK51" s="987">
        <v>64</v>
      </c>
      <c r="BL51" s="123">
        <f t="shared" ref="BL51:BL55" si="48">BK51*BJ51</f>
        <v>687194767.36000001</v>
      </c>
      <c r="BM51" s="969"/>
      <c r="BN51" s="977"/>
      <c r="BO51" s="78">
        <f t="shared" ref="BO51:BO55" si="49">BL51*BM51</f>
        <v>0</v>
      </c>
      <c r="BQ51" s="691">
        <f t="shared" si="17"/>
        <v>0</v>
      </c>
      <c r="BR51" s="691">
        <f t="shared" si="27"/>
        <v>-17179869.184000015</v>
      </c>
      <c r="BS51" s="894">
        <f t="shared" si="18"/>
        <v>0.125</v>
      </c>
      <c r="BT51" s="975">
        <f t="shared" si="19"/>
        <v>-2147483.6480000019</v>
      </c>
      <c r="BU51" s="691">
        <f t="shared" si="20"/>
        <v>1342531553.5429084</v>
      </c>
      <c r="BV51" s="183">
        <f t="shared" si="28"/>
        <v>0</v>
      </c>
      <c r="BW51" s="949">
        <f t="shared" si="21"/>
        <v>2044</v>
      </c>
    </row>
    <row r="52" spans="3:75" ht="16.2" thickBot="1" x14ac:dyDescent="0.35">
      <c r="C52" s="122"/>
      <c r="D52" s="7"/>
      <c r="E52" s="7"/>
      <c r="F52" s="127"/>
      <c r="G52" s="127" t="s">
        <v>280</v>
      </c>
      <c r="H52" s="7"/>
      <c r="I52" s="459" t="s">
        <v>282</v>
      </c>
      <c r="J52" s="122"/>
      <c r="K52" s="8"/>
      <c r="AN52" s="1252" t="s">
        <v>1491</v>
      </c>
      <c r="AO52" s="4"/>
      <c r="AP52" s="1255" t="s">
        <v>746</v>
      </c>
      <c r="AQ52" s="5"/>
      <c r="AR52" s="565" t="s">
        <v>891</v>
      </c>
      <c r="AS52" s="76"/>
      <c r="BB52" s="332" t="s">
        <v>989</v>
      </c>
      <c r="BC52" s="953">
        <f t="shared" si="37"/>
        <v>2045</v>
      </c>
      <c r="BD52" s="78">
        <f t="shared" ref="BD52:BD55" si="50">BD51+BF51</f>
        <v>154592864981240.22</v>
      </c>
      <c r="BE52" s="894">
        <f t="shared" si="39"/>
        <v>2.5000000000000001E-2</v>
      </c>
      <c r="BF52" s="78">
        <f t="shared" ref="BF52:BF55" si="51">BD52*BE52</f>
        <v>3864821624531.0059</v>
      </c>
      <c r="BH52" s="76"/>
      <c r="BI52" s="953">
        <f t="shared" si="47"/>
        <v>2045</v>
      </c>
      <c r="BJ52" s="78">
        <f t="shared" si="44"/>
        <v>10737418.24</v>
      </c>
      <c r="BK52" s="987">
        <v>64</v>
      </c>
      <c r="BL52" s="123">
        <f t="shared" si="48"/>
        <v>687194767.36000001</v>
      </c>
      <c r="BM52" s="969"/>
      <c r="BN52" s="977"/>
      <c r="BO52" s="78">
        <f t="shared" si="49"/>
        <v>0</v>
      </c>
      <c r="BQ52" s="691">
        <f t="shared" si="17"/>
        <v>0</v>
      </c>
      <c r="BR52" s="691">
        <f t="shared" si="27"/>
        <v>-17179869.184000015</v>
      </c>
      <c r="BS52" s="894">
        <f t="shared" si="18"/>
        <v>0.125</v>
      </c>
      <c r="BT52" s="975">
        <f t="shared" si="19"/>
        <v>-2147483.6480000019</v>
      </c>
      <c r="BU52" s="691">
        <f t="shared" si="20"/>
        <v>1342531553.5429084</v>
      </c>
      <c r="BV52" s="183">
        <f t="shared" si="28"/>
        <v>0</v>
      </c>
      <c r="BW52" s="949">
        <f t="shared" si="21"/>
        <v>2045</v>
      </c>
    </row>
    <row r="53" spans="3:75" ht="16.2" thickBot="1" x14ac:dyDescent="0.35">
      <c r="C53" s="122"/>
      <c r="D53" s="7"/>
      <c r="E53" s="7"/>
      <c r="F53" s="129">
        <v>0.25</v>
      </c>
      <c r="G53" s="130">
        <f>E57*F53</f>
        <v>503316.47999999998</v>
      </c>
      <c r="H53" s="460">
        <v>0.5</v>
      </c>
      <c r="I53" s="130">
        <f>G53*H53</f>
        <v>251658.23999999999</v>
      </c>
      <c r="J53" s="460">
        <v>0.05</v>
      </c>
      <c r="K53" s="458">
        <f>I53*J53</f>
        <v>12582.912</v>
      </c>
      <c r="AL53" s="933">
        <f>AO53</f>
        <v>256</v>
      </c>
      <c r="AM53" s="927" t="s">
        <v>745</v>
      </c>
      <c r="AN53" s="1256">
        <f>AP53*AO53</f>
        <v>5497558138.8800001</v>
      </c>
      <c r="AO53" s="934">
        <v>256</v>
      </c>
      <c r="AP53" s="1253">
        <f>'POP Dimensions'!J15</f>
        <v>21474836.48</v>
      </c>
      <c r="AQ53" s="1254"/>
      <c r="AR53" s="565" t="s">
        <v>901</v>
      </c>
      <c r="AS53" s="484">
        <v>0.17</v>
      </c>
      <c r="AT53" s="1" t="s">
        <v>895</v>
      </c>
      <c r="BB53" s="332" t="s">
        <v>989</v>
      </c>
      <c r="BC53" s="953">
        <f t="shared" si="37"/>
        <v>2046</v>
      </c>
      <c r="BD53" s="78">
        <f t="shared" si="50"/>
        <v>158457686605771.22</v>
      </c>
      <c r="BE53" s="894">
        <f t="shared" si="39"/>
        <v>2.5000000000000001E-2</v>
      </c>
      <c r="BF53" s="78">
        <f t="shared" si="51"/>
        <v>3961442165144.2808</v>
      </c>
      <c r="BH53" s="76"/>
      <c r="BI53" s="953">
        <f t="shared" si="47"/>
        <v>2046</v>
      </c>
      <c r="BJ53" s="78">
        <f t="shared" ref="BJ53:BJ55" si="52">BJ43</f>
        <v>10737418.24</v>
      </c>
      <c r="BK53" s="987">
        <v>64</v>
      </c>
      <c r="BL53" s="123">
        <f t="shared" si="48"/>
        <v>687194767.36000001</v>
      </c>
      <c r="BM53" s="969"/>
      <c r="BN53" s="977"/>
      <c r="BO53" s="78">
        <f t="shared" si="49"/>
        <v>0</v>
      </c>
      <c r="BQ53" s="691">
        <f t="shared" si="17"/>
        <v>0</v>
      </c>
      <c r="BR53" s="691">
        <f t="shared" si="27"/>
        <v>-17179869.184000015</v>
      </c>
      <c r="BS53" s="894">
        <f t="shared" si="18"/>
        <v>0.125</v>
      </c>
      <c r="BT53" s="975">
        <f t="shared" si="19"/>
        <v>-2147483.6480000019</v>
      </c>
      <c r="BU53" s="691">
        <f t="shared" si="20"/>
        <v>1342531553.5429084</v>
      </c>
      <c r="BV53" s="183">
        <f t="shared" si="28"/>
        <v>0</v>
      </c>
      <c r="BW53" s="949">
        <f t="shared" si="21"/>
        <v>2046</v>
      </c>
    </row>
    <row r="54" spans="3:75" ht="16.2" thickBot="1" x14ac:dyDescent="0.35">
      <c r="C54" s="122"/>
      <c r="D54" s="7"/>
      <c r="E54" s="7"/>
      <c r="F54" s="133"/>
      <c r="G54" s="134" t="s">
        <v>290</v>
      </c>
      <c r="H54" s="7"/>
      <c r="I54" s="457" t="s">
        <v>283</v>
      </c>
      <c r="J54" s="122"/>
      <c r="K54" s="8"/>
      <c r="AL54" s="927"/>
      <c r="AN54" s="1257" t="s">
        <v>1355</v>
      </c>
      <c r="AO54" s="1258"/>
      <c r="AP54" s="255" t="s">
        <v>1290</v>
      </c>
      <c r="AQ54" s="8"/>
      <c r="AR54" s="566"/>
      <c r="AS54" s="76"/>
      <c r="BB54" s="332" t="s">
        <v>989</v>
      </c>
      <c r="BC54" s="953">
        <f t="shared" si="37"/>
        <v>2047</v>
      </c>
      <c r="BD54" s="78">
        <f t="shared" si="50"/>
        <v>162419128770915.5</v>
      </c>
      <c r="BE54" s="894">
        <f t="shared" si="39"/>
        <v>2.5000000000000001E-2</v>
      </c>
      <c r="BF54" s="78">
        <f t="shared" si="51"/>
        <v>4060478219272.8877</v>
      </c>
      <c r="BH54" s="76"/>
      <c r="BI54" s="953">
        <f t="shared" si="47"/>
        <v>2047</v>
      </c>
      <c r="BJ54" s="78">
        <f t="shared" si="52"/>
        <v>10737418.24</v>
      </c>
      <c r="BK54" s="987">
        <v>64</v>
      </c>
      <c r="BL54" s="123">
        <f t="shared" si="48"/>
        <v>687194767.36000001</v>
      </c>
      <c r="BM54" s="969"/>
      <c r="BN54" s="977"/>
      <c r="BO54" s="78">
        <f t="shared" si="49"/>
        <v>0</v>
      </c>
      <c r="BQ54" s="691">
        <f t="shared" si="17"/>
        <v>0</v>
      </c>
      <c r="BR54" s="691">
        <f t="shared" si="27"/>
        <v>-17179869.184000015</v>
      </c>
      <c r="BS54" s="894">
        <f t="shared" si="18"/>
        <v>0.125</v>
      </c>
      <c r="BT54" s="975">
        <f t="shared" si="19"/>
        <v>-2147483.6480000019</v>
      </c>
      <c r="BU54" s="691">
        <f t="shared" si="20"/>
        <v>1342531553.5429084</v>
      </c>
      <c r="BV54" s="183">
        <f t="shared" si="28"/>
        <v>0</v>
      </c>
      <c r="BW54" s="949">
        <f t="shared" si="21"/>
        <v>2047</v>
      </c>
    </row>
    <row r="55" spans="3:75" ht="16.2" thickBot="1" x14ac:dyDescent="0.35">
      <c r="C55" s="122"/>
      <c r="D55" s="7"/>
      <c r="E55" s="7"/>
      <c r="F55" s="133">
        <v>0.25</v>
      </c>
      <c r="G55" s="135">
        <f>E57*F55</f>
        <v>503316.47999999998</v>
      </c>
      <c r="H55" s="461">
        <v>0.9</v>
      </c>
      <c r="I55" s="135">
        <f>G55*H55</f>
        <v>452984.83199999999</v>
      </c>
      <c r="J55" s="461">
        <v>0.05</v>
      </c>
      <c r="K55" s="440">
        <f>I55*J55</f>
        <v>22649.241600000001</v>
      </c>
      <c r="AL55" s="239"/>
      <c r="AN55" s="1002" t="s">
        <v>867</v>
      </c>
      <c r="AO55" s="1258"/>
      <c r="AP55" s="255"/>
      <c r="AQ55" s="8"/>
      <c r="AR55" s="239"/>
      <c r="AS55" s="484">
        <v>0.17</v>
      </c>
      <c r="AT55" s="32">
        <f>AS55</f>
        <v>0.17</v>
      </c>
      <c r="BB55" s="332" t="s">
        <v>989</v>
      </c>
      <c r="BC55" s="953">
        <f t="shared" si="37"/>
        <v>2048</v>
      </c>
      <c r="BD55" s="78">
        <f t="shared" si="50"/>
        <v>166479606990188.38</v>
      </c>
      <c r="BE55" s="894">
        <f t="shared" si="39"/>
        <v>2.5000000000000001E-2</v>
      </c>
      <c r="BF55" s="78">
        <f t="shared" si="51"/>
        <v>4161990174754.7095</v>
      </c>
      <c r="BG55" s="895" t="s">
        <v>1280</v>
      </c>
      <c r="BH55" s="76"/>
      <c r="BI55" s="953">
        <f t="shared" si="47"/>
        <v>2048</v>
      </c>
      <c r="BJ55" s="78">
        <f t="shared" si="52"/>
        <v>10737418.24</v>
      </c>
      <c r="BK55" s="987">
        <v>64</v>
      </c>
      <c r="BL55" s="123">
        <f t="shared" si="48"/>
        <v>687194767.36000001</v>
      </c>
      <c r="BM55" s="969"/>
      <c r="BN55" s="977"/>
      <c r="BO55" s="78">
        <f t="shared" si="49"/>
        <v>0</v>
      </c>
      <c r="BQ55" s="691">
        <f t="shared" si="17"/>
        <v>0</v>
      </c>
      <c r="BR55" s="691">
        <f t="shared" si="27"/>
        <v>-17179869.184000015</v>
      </c>
      <c r="BS55" s="894">
        <f t="shared" si="18"/>
        <v>0.125</v>
      </c>
      <c r="BT55" s="975">
        <f t="shared" si="19"/>
        <v>-2147483.6480000019</v>
      </c>
      <c r="BU55" s="691">
        <f t="shared" si="20"/>
        <v>1342531553.5429084</v>
      </c>
      <c r="BV55" s="183">
        <f t="shared" si="28"/>
        <v>0</v>
      </c>
      <c r="BW55" s="949">
        <f t="shared" si="21"/>
        <v>2048</v>
      </c>
    </row>
    <row r="56" spans="3:75" ht="18.600000000000001" thickBot="1" x14ac:dyDescent="0.4">
      <c r="C56" s="122"/>
      <c r="D56" s="7"/>
      <c r="E56" s="7"/>
      <c r="F56" s="136"/>
      <c r="G56" s="136" t="s">
        <v>279</v>
      </c>
      <c r="H56" s="7"/>
      <c r="I56" s="451" t="s">
        <v>284</v>
      </c>
      <c r="J56" s="122"/>
      <c r="K56" s="8"/>
      <c r="S56" s="88"/>
      <c r="AL56" s="239"/>
      <c r="AN56" s="719">
        <f>AN48-AN53</f>
        <v>22375525892.381809</v>
      </c>
      <c r="AO56" s="255"/>
      <c r="AP56" s="255"/>
      <c r="AQ56" s="1259"/>
      <c r="AR56" s="239" t="s">
        <v>892</v>
      </c>
      <c r="AS56" s="615">
        <f>AT58</f>
        <v>2.0450872642717979</v>
      </c>
      <c r="AT56" s="569" t="s">
        <v>980</v>
      </c>
      <c r="AU56" s="569"/>
      <c r="AV56" s="181"/>
      <c r="AW56" s="181"/>
      <c r="AX56" s="252"/>
      <c r="AY56" s="252"/>
      <c r="AZ56" s="252"/>
      <c r="BA56" s="252"/>
      <c r="BG56" s="1"/>
      <c r="BM56" s="979">
        <f>SUM(BM22:BM55)</f>
        <v>23.975000000000001</v>
      </c>
      <c r="BN56" s="979">
        <f>SUM(BN22:BN55)</f>
        <v>24</v>
      </c>
    </row>
    <row r="57" spans="3:75" ht="16.8" thickTop="1" thickBot="1" x14ac:dyDescent="0.35">
      <c r="C57" s="137" t="s">
        <v>291</v>
      </c>
      <c r="D57" s="138">
        <f>E57/E51</f>
        <v>9.375E-2</v>
      </c>
      <c r="E57" s="139">
        <f>E14</f>
        <v>2013265.9199999999</v>
      </c>
      <c r="F57" s="140">
        <v>0.5</v>
      </c>
      <c r="G57" s="139">
        <f>E57*F57</f>
        <v>1006632.96</v>
      </c>
      <c r="H57" s="463">
        <v>0.95</v>
      </c>
      <c r="I57" s="139">
        <f>G57*H57</f>
        <v>956301.31199999992</v>
      </c>
      <c r="J57" s="463">
        <v>0.05</v>
      </c>
      <c r="K57" s="441">
        <f>I57*J57</f>
        <v>47815.065600000002</v>
      </c>
      <c r="S57" s="88"/>
      <c r="T57" s="253"/>
      <c r="U57" s="253"/>
      <c r="V57" s="253"/>
      <c r="W57" s="253"/>
      <c r="X57" s="253"/>
      <c r="Y57" s="253"/>
      <c r="Z57" s="253"/>
      <c r="AA57" s="253"/>
      <c r="AB57" s="253"/>
      <c r="AC57" s="253"/>
      <c r="AD57" s="253"/>
      <c r="AE57" s="253"/>
      <c r="AF57" s="253"/>
      <c r="AG57" s="253"/>
      <c r="AH57" s="253"/>
      <c r="AI57" s="253"/>
      <c r="AJ57" s="253"/>
      <c r="AK57" s="253"/>
      <c r="AL57" s="248"/>
      <c r="AM57" s="937" t="s">
        <v>1293</v>
      </c>
      <c r="AN57" s="1003"/>
      <c r="AO57" s="255"/>
      <c r="AP57" s="1260" t="s">
        <v>1293</v>
      </c>
      <c r="AQ57" s="456"/>
      <c r="AR57" s="239"/>
      <c r="AS57" s="208">
        <f>AS50</f>
        <v>0.34766483492620565</v>
      </c>
      <c r="AT57" s="80">
        <f>AS57</f>
        <v>0.34766483492620565</v>
      </c>
      <c r="BQ57" s="77" t="s">
        <v>966</v>
      </c>
      <c r="BR57" s="77"/>
      <c r="BS57" s="77" t="s">
        <v>965</v>
      </c>
      <c r="BT57" s="77"/>
      <c r="BU57" s="77"/>
    </row>
    <row r="58" spans="3:75" x14ac:dyDescent="0.3">
      <c r="C58" s="141"/>
      <c r="D58" s="107"/>
      <c r="E58" s="91"/>
      <c r="F58" s="142"/>
      <c r="G58" s="9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7" t="s">
        <v>1294</v>
      </c>
      <c r="AN58" s="996">
        <f>AN56*AO58</f>
        <v>1342531553.5429084</v>
      </c>
      <c r="AO58" s="923">
        <v>0.06</v>
      </c>
      <c r="AP58" s="924" t="s">
        <v>1443</v>
      </c>
      <c r="AQ58" s="925"/>
      <c r="AR58" s="239"/>
      <c r="AS58" s="76"/>
      <c r="AT58" s="1">
        <f>AT57/AT55</f>
        <v>2.0450872642717979</v>
      </c>
      <c r="BQ58" s="77" t="s">
        <v>785</v>
      </c>
      <c r="BR58" s="77"/>
      <c r="BS58" s="77" t="s">
        <v>962</v>
      </c>
      <c r="BT58" s="77"/>
      <c r="BU58" s="77"/>
    </row>
    <row r="59" spans="3:75" ht="16.2" thickBot="1" x14ac:dyDescent="0.35">
      <c r="C59" s="141"/>
      <c r="D59" s="107"/>
      <c r="E59" s="9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76"/>
      <c r="AK59" s="410"/>
      <c r="AL59" s="928"/>
      <c r="AM59" s="948" t="s">
        <v>1295</v>
      </c>
      <c r="AN59" s="911">
        <f>AN56*AO59</f>
        <v>1118776294.6190906</v>
      </c>
      <c r="AO59" s="912">
        <v>0.05</v>
      </c>
      <c r="AP59" s="875" t="s">
        <v>1162</v>
      </c>
      <c r="AQ59" s="126"/>
      <c r="AR59" s="239"/>
      <c r="AS59" s="76"/>
      <c r="AX59" s="32"/>
    </row>
    <row r="60" spans="3:75" ht="16.2" thickBot="1" x14ac:dyDescent="0.35">
      <c r="C60" s="397" t="s">
        <v>276</v>
      </c>
      <c r="D60" s="398">
        <f>100%-D57-D63</f>
        <v>0.63099980959668756</v>
      </c>
      <c r="E60" s="399">
        <f>E51*D60</f>
        <v>13550617.73</v>
      </c>
      <c r="F60" s="400">
        <v>1</v>
      </c>
      <c r="G60" s="399">
        <f>E60*F60</f>
        <v>13550617.73</v>
      </c>
      <c r="H60" s="464">
        <v>0.9</v>
      </c>
      <c r="I60" s="399">
        <f>G60*H60</f>
        <v>12195555.957</v>
      </c>
      <c r="J60" s="464">
        <v>0.05</v>
      </c>
      <c r="K60" s="453">
        <f>I60*J60</f>
        <v>609777.79785000009</v>
      </c>
      <c r="S60" s="88"/>
      <c r="Y60" s="238"/>
      <c r="Z60" s="238"/>
      <c r="AA60" s="238"/>
      <c r="AB60" s="238"/>
      <c r="AC60" s="238"/>
      <c r="AD60" s="238"/>
      <c r="AE60" s="238"/>
      <c r="AF60" s="238"/>
      <c r="AG60" s="238"/>
      <c r="AH60" s="238"/>
      <c r="AI60" s="238"/>
      <c r="AJ60" s="76"/>
      <c r="AK60" s="76"/>
      <c r="AL60" s="239"/>
      <c r="AM60" s="948" t="s">
        <v>1296</v>
      </c>
      <c r="AN60" s="911">
        <f>AN56*AO60</f>
        <v>895021035.69527245</v>
      </c>
      <c r="AO60" s="912">
        <v>0.04</v>
      </c>
      <c r="AP60" s="875" t="s">
        <v>1441</v>
      </c>
      <c r="AQ60" s="126"/>
      <c r="AR60" s="239"/>
      <c r="AS60" s="78">
        <f>AS32+AS47</f>
        <v>25072217155.852726</v>
      </c>
      <c r="AT60" s="1" t="s">
        <v>958</v>
      </c>
      <c r="BG60" s="1"/>
      <c r="BK60" s="1"/>
      <c r="BV60" s="1"/>
      <c r="BW60" s="1"/>
    </row>
    <row r="61" spans="3:75" x14ac:dyDescent="0.3">
      <c r="C61" s="403"/>
      <c r="D61" s="118"/>
      <c r="E61" s="402"/>
      <c r="F61" s="7"/>
      <c r="G61" s="7"/>
      <c r="H61" s="7"/>
      <c r="I61" s="8"/>
      <c r="J61" s="122"/>
      <c r="K61" s="8"/>
      <c r="S61" s="88"/>
      <c r="Y61" s="238"/>
      <c r="Z61" s="238"/>
      <c r="AA61" s="238"/>
      <c r="AB61" s="238"/>
      <c r="AC61" s="238"/>
      <c r="AD61" s="238"/>
      <c r="AE61" s="238"/>
      <c r="AF61" s="238"/>
      <c r="AG61" s="238"/>
      <c r="AH61" s="238"/>
      <c r="AI61" s="238"/>
      <c r="AJ61" s="76"/>
      <c r="AK61" s="410"/>
      <c r="AL61" s="927"/>
      <c r="AM61" s="948" t="s">
        <v>1297</v>
      </c>
      <c r="AN61" s="911">
        <f>AN56*AO61</f>
        <v>1342531553.5429084</v>
      </c>
      <c r="AO61" s="912">
        <v>0.06</v>
      </c>
      <c r="AP61" s="875" t="s">
        <v>1303</v>
      </c>
      <c r="AQ61" s="126"/>
      <c r="AR61" s="253"/>
      <c r="AS61" s="647">
        <f>AS60/AS47</f>
        <v>3.7813186794096452</v>
      </c>
    </row>
    <row r="62" spans="3:75" ht="16.2" thickBot="1" x14ac:dyDescent="0.35">
      <c r="C62" s="122"/>
      <c r="D62" s="95"/>
      <c r="E62" s="87"/>
      <c r="F62" s="148"/>
      <c r="G62" s="148" t="s">
        <v>147</v>
      </c>
      <c r="H62" s="7"/>
      <c r="I62" s="450" t="s">
        <v>285</v>
      </c>
      <c r="J62" s="122"/>
      <c r="K62" s="8"/>
      <c r="S62" s="88"/>
      <c r="Y62" s="238"/>
      <c r="Z62" s="238"/>
      <c r="AA62" s="238"/>
      <c r="AB62" s="238"/>
      <c r="AC62" s="238"/>
      <c r="AD62" s="238"/>
      <c r="AE62" s="238"/>
      <c r="AF62" s="238"/>
      <c r="AG62" s="238"/>
      <c r="AH62" s="238"/>
      <c r="AI62" s="238"/>
      <c r="AJ62" s="76"/>
      <c r="AK62" s="76"/>
      <c r="AL62" s="239"/>
      <c r="AM62" s="948" t="s">
        <v>1300</v>
      </c>
      <c r="AN62" s="911">
        <f>AN56*AO62</f>
        <v>1342531553.5429084</v>
      </c>
      <c r="AO62" s="912">
        <v>0.06</v>
      </c>
      <c r="AP62" s="410" t="s">
        <v>1442</v>
      </c>
      <c r="AQ62" s="126"/>
      <c r="AR62" s="253"/>
    </row>
    <row r="63" spans="3:75" ht="16.2" thickBot="1" x14ac:dyDescent="0.35">
      <c r="C63" s="149" t="s">
        <v>737</v>
      </c>
      <c r="D63" s="150">
        <f>E63/E51</f>
        <v>0.27525019040331244</v>
      </c>
      <c r="E63" s="151">
        <f>E21</f>
        <v>5910952.8300000001</v>
      </c>
      <c r="F63" s="152">
        <v>0.3</v>
      </c>
      <c r="G63" s="151">
        <f>E63*F63</f>
        <v>1773285.8489999999</v>
      </c>
      <c r="H63" s="465">
        <v>0.9</v>
      </c>
      <c r="I63" s="151">
        <f>G63*H63</f>
        <v>1595957.2641</v>
      </c>
      <c r="J63" s="465">
        <v>0.05</v>
      </c>
      <c r="K63" s="444">
        <f>I63*J63</f>
        <v>79797.863205000001</v>
      </c>
      <c r="S63" s="88"/>
      <c r="Y63" s="238"/>
      <c r="Z63" s="238"/>
      <c r="AA63" s="238"/>
      <c r="AB63" s="238"/>
      <c r="AC63" s="238"/>
      <c r="AD63" s="238"/>
      <c r="AE63" s="238"/>
      <c r="AF63" s="238"/>
      <c r="AG63" s="238"/>
      <c r="AH63" s="238"/>
      <c r="AI63" s="926"/>
      <c r="AJ63" s="410"/>
      <c r="AK63" s="410"/>
      <c r="AL63" s="927"/>
      <c r="AM63" s="948" t="s">
        <v>1305</v>
      </c>
      <c r="AN63" s="911">
        <f>AN56*AO63</f>
        <v>895021035.69527245</v>
      </c>
      <c r="AO63" s="912">
        <v>0.04</v>
      </c>
      <c r="AP63" s="410" t="s">
        <v>148</v>
      </c>
      <c r="AQ63" s="126"/>
      <c r="AR63" s="253"/>
    </row>
    <row r="64" spans="3:75" ht="16.2" thickBot="1" x14ac:dyDescent="0.35">
      <c r="C64" s="141"/>
      <c r="D64" s="429"/>
      <c r="E64" s="91"/>
      <c r="F64" s="430"/>
      <c r="G64" s="432" t="s">
        <v>738</v>
      </c>
      <c r="H64" s="142"/>
      <c r="I64" s="449" t="s">
        <v>738</v>
      </c>
      <c r="J64" s="433"/>
      <c r="K64" s="434"/>
      <c r="S64" s="88"/>
      <c r="Y64" s="238"/>
      <c r="AE64" s="252"/>
      <c r="AG64" s="88"/>
      <c r="AI64" s="106"/>
      <c r="AJ64" s="964"/>
      <c r="AK64" s="106"/>
      <c r="AL64" s="929"/>
      <c r="AM64" s="938"/>
      <c r="AN64" s="1004"/>
      <c r="AO64" s="1005"/>
      <c r="AP64" s="1005"/>
      <c r="AQ64" s="903"/>
      <c r="AR64" s="253"/>
    </row>
    <row r="65" spans="3:75" ht="16.2" thickBot="1" x14ac:dyDescent="0.35">
      <c r="C65" s="141"/>
      <c r="D65" s="429"/>
      <c r="E65" s="91"/>
      <c r="F65" s="430">
        <v>0.25</v>
      </c>
      <c r="G65" s="431">
        <f>E63*F65</f>
        <v>1477738.2075</v>
      </c>
      <c r="H65" s="466">
        <v>0.95</v>
      </c>
      <c r="I65" s="431">
        <f>G65*H65</f>
        <v>1403851.297125</v>
      </c>
      <c r="J65" s="466">
        <v>0.05</v>
      </c>
      <c r="K65" s="442">
        <f>I65*J65</f>
        <v>70192.564856249999</v>
      </c>
      <c r="S65" s="88"/>
      <c r="Y65" s="238"/>
      <c r="AE65" s="252"/>
      <c r="AG65" s="88"/>
      <c r="AI65" s="106"/>
      <c r="AJ65" s="964"/>
      <c r="AK65" s="106"/>
      <c r="AL65" s="927"/>
      <c r="AM65" s="939" t="s">
        <v>1299</v>
      </c>
      <c r="AN65" s="1006">
        <f>AN53</f>
        <v>5497558138.8800001</v>
      </c>
      <c r="AO65" s="935">
        <f>AN65/AN56</f>
        <v>0.24569514769490861</v>
      </c>
      <c r="AP65" s="898" t="s">
        <v>1311</v>
      </c>
      <c r="AQ65" s="905"/>
      <c r="AR65" s="253"/>
    </row>
    <row r="66" spans="3:75" ht="16.2" thickBot="1" x14ac:dyDescent="0.35">
      <c r="C66" s="122"/>
      <c r="D66" s="94">
        <f>SUM(D57:D63)</f>
        <v>1</v>
      </c>
      <c r="E66" s="7"/>
      <c r="F66" s="153"/>
      <c r="G66" s="154" t="s">
        <v>293</v>
      </c>
      <c r="H66" s="7"/>
      <c r="I66" s="448" t="s">
        <v>294</v>
      </c>
      <c r="J66" s="122"/>
      <c r="K66" s="8"/>
      <c r="S66" s="88"/>
      <c r="W66" s="77" t="s">
        <v>805</v>
      </c>
      <c r="Y66" s="238"/>
      <c r="AA66" s="576"/>
      <c r="AB66" s="88"/>
      <c r="AD66" s="88"/>
      <c r="AE66" s="252"/>
      <c r="AG66" s="88"/>
      <c r="AH66" s="88"/>
      <c r="AI66" s="106"/>
      <c r="AJ66" s="964"/>
      <c r="AK66" s="106"/>
      <c r="AL66" s="106"/>
      <c r="AM66" s="940" t="s">
        <v>1325</v>
      </c>
      <c r="AN66" s="930">
        <f>AN56*AO66</f>
        <v>111877629.46190906</v>
      </c>
      <c r="AO66" s="931">
        <v>5.0000000000000001E-3</v>
      </c>
      <c r="AP66" s="898" t="s">
        <v>1315</v>
      </c>
      <c r="AQ66" s="905"/>
      <c r="AR66" s="946">
        <v>272</v>
      </c>
      <c r="AS66" s="181" t="s">
        <v>1314</v>
      </c>
    </row>
    <row r="67" spans="3:75" ht="16.2" thickBot="1" x14ac:dyDescent="0.35">
      <c r="C67" s="122"/>
      <c r="D67" s="7"/>
      <c r="E67" s="7"/>
      <c r="F67" s="153">
        <v>0.2</v>
      </c>
      <c r="G67" s="99">
        <f>E63*F67</f>
        <v>1182190.5660000001</v>
      </c>
      <c r="H67" s="467">
        <v>0.9</v>
      </c>
      <c r="I67" s="99">
        <f>G67*H67</f>
        <v>1063971.5094000001</v>
      </c>
      <c r="J67" s="467">
        <v>0.05</v>
      </c>
      <c r="K67" s="443">
        <f>I67*J67</f>
        <v>53198.575470000011</v>
      </c>
      <c r="S67" s="88"/>
      <c r="W67" s="949">
        <v>2024</v>
      </c>
      <c r="Y67" s="76"/>
      <c r="AA67" s="952"/>
      <c r="AB67" s="252"/>
      <c r="AD67" s="252"/>
      <c r="AE67" s="252"/>
      <c r="AG67" s="88"/>
      <c r="AI67" s="106"/>
      <c r="AJ67" s="964"/>
      <c r="AK67" s="106"/>
      <c r="AL67" s="106"/>
      <c r="AM67" s="940" t="s">
        <v>1307</v>
      </c>
      <c r="AN67" s="930">
        <f>AN56*AO67</f>
        <v>671265776.77145422</v>
      </c>
      <c r="AO67" s="931">
        <v>0.03</v>
      </c>
      <c r="AP67" s="898" t="s">
        <v>1323</v>
      </c>
      <c r="AQ67" s="905"/>
      <c r="AR67" s="945">
        <v>100</v>
      </c>
      <c r="AS67" s="938">
        <f>AR66*AR67</f>
        <v>27200</v>
      </c>
      <c r="AT67" s="1" t="s">
        <v>1316</v>
      </c>
    </row>
    <row r="68" spans="3:75" ht="16.2" thickBot="1" x14ac:dyDescent="0.35">
      <c r="C68" s="122"/>
      <c r="D68" s="7"/>
      <c r="E68" s="7"/>
      <c r="F68" s="445"/>
      <c r="G68" s="445" t="s">
        <v>733</v>
      </c>
      <c r="H68" s="7"/>
      <c r="I68" s="452" t="s">
        <v>733</v>
      </c>
      <c r="J68" s="122"/>
      <c r="K68" s="8"/>
      <c r="R68" s="38"/>
      <c r="S68" s="582"/>
      <c r="W68" s="77" t="s">
        <v>672</v>
      </c>
      <c r="Y68" s="238"/>
      <c r="AA68" s="576"/>
      <c r="AB68" s="88"/>
      <c r="AD68" s="88"/>
      <c r="AE68" s="252"/>
      <c r="AG68" s="88"/>
      <c r="AH68" s="88"/>
      <c r="AI68" s="106"/>
      <c r="AJ68" s="964"/>
      <c r="AK68" s="106"/>
      <c r="AL68" s="251"/>
      <c r="AM68" s="940" t="s">
        <v>1308</v>
      </c>
      <c r="AN68" s="930">
        <f>AN56*AO68</f>
        <v>671265776.77145422</v>
      </c>
      <c r="AO68" s="931">
        <v>0.03</v>
      </c>
      <c r="AP68" s="898" t="s">
        <v>1438</v>
      </c>
      <c r="AQ68" s="905"/>
      <c r="AR68" s="600"/>
      <c r="AS68" s="1">
        <v>1000</v>
      </c>
      <c r="AT68" s="1" t="s">
        <v>226</v>
      </c>
    </row>
    <row r="69" spans="3:75" ht="16.2" thickBot="1" x14ac:dyDescent="0.35">
      <c r="C69" s="122"/>
      <c r="D69" s="7"/>
      <c r="E69" s="7"/>
      <c r="F69" s="438">
        <v>0.2</v>
      </c>
      <c r="G69" s="446">
        <f>E63*F69</f>
        <v>1182190.5660000001</v>
      </c>
      <c r="H69" s="447">
        <v>0.25</v>
      </c>
      <c r="I69" s="446">
        <f>G69*H69</f>
        <v>295547.64150000003</v>
      </c>
      <c r="J69" s="447">
        <v>0.05</v>
      </c>
      <c r="K69" s="439">
        <f>I69*J69</f>
        <v>14777.382075000001</v>
      </c>
      <c r="Q69" s="240" t="s">
        <v>952</v>
      </c>
      <c r="S69" s="88"/>
      <c r="W69" s="78">
        <f>AQ47</f>
        <v>6630548568.2489748</v>
      </c>
      <c r="Y69" s="238"/>
      <c r="AA69" s="952"/>
      <c r="AB69" s="88"/>
      <c r="AD69" s="88"/>
      <c r="AE69" s="252"/>
      <c r="AF69" s="88"/>
      <c r="AG69" s="88"/>
      <c r="AH69" s="88"/>
      <c r="AI69" s="88"/>
      <c r="AJ69" s="958"/>
      <c r="AK69" s="88"/>
      <c r="AL69" s="88"/>
      <c r="AM69" s="940" t="s">
        <v>1317</v>
      </c>
      <c r="AN69" s="930">
        <f>AN56*AO69</f>
        <v>671265776.77145422</v>
      </c>
      <c r="AO69" s="931">
        <v>0.03</v>
      </c>
      <c r="AP69" s="898" t="s">
        <v>1356</v>
      </c>
      <c r="AQ69" s="905"/>
      <c r="AR69" s="601"/>
      <c r="AS69" s="1">
        <f>AS67*AS68</f>
        <v>27200000</v>
      </c>
      <c r="AT69" s="1" t="s">
        <v>1320</v>
      </c>
    </row>
    <row r="70" spans="3:75" x14ac:dyDescent="0.3">
      <c r="C70" s="122"/>
      <c r="D70" s="7"/>
      <c r="E70" s="7"/>
      <c r="F70" s="142"/>
      <c r="G70" s="91"/>
      <c r="H70" s="142"/>
      <c r="I70" s="434"/>
      <c r="J70" s="142"/>
      <c r="K70" s="434"/>
      <c r="L70" s="240" t="s">
        <v>1367</v>
      </c>
      <c r="O70" s="240" t="s">
        <v>803</v>
      </c>
      <c r="Q70" s="951">
        <f>O72</f>
        <v>256</v>
      </c>
      <c r="S70" s="248" t="s">
        <v>367</v>
      </c>
      <c r="U70" s="77" t="s">
        <v>1328</v>
      </c>
      <c r="W70" s="77" t="s">
        <v>806</v>
      </c>
      <c r="Y70" s="238"/>
      <c r="AA70" s="88"/>
      <c r="AB70" s="88"/>
      <c r="AD70" s="88"/>
      <c r="AE70" s="252"/>
      <c r="AF70" s="88"/>
      <c r="AG70" s="88"/>
      <c r="AH70" s="88"/>
      <c r="AI70" s="88"/>
      <c r="AJ70" s="958"/>
      <c r="AK70" s="88"/>
      <c r="AL70" s="88"/>
      <c r="AM70" s="940" t="s">
        <v>1318</v>
      </c>
      <c r="AN70" s="930">
        <f>AN56*AO70</f>
        <v>671265776.77145422</v>
      </c>
      <c r="AO70" s="931">
        <v>0.03</v>
      </c>
      <c r="AP70" s="898" t="s">
        <v>1357</v>
      </c>
      <c r="AQ70" s="905"/>
      <c r="AR70" s="600"/>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55">
        <f>AO53</f>
        <v>256</v>
      </c>
      <c r="U71" s="77" t="s">
        <v>804</v>
      </c>
      <c r="V71" s="947"/>
      <c r="W71" s="319">
        <v>0.3</v>
      </c>
      <c r="Y71" s="76" t="s">
        <v>893</v>
      </c>
      <c r="Z71" s="76"/>
      <c r="AA71" s="77" t="s">
        <v>1332</v>
      </c>
      <c r="AB71" s="88"/>
      <c r="AE71" s="958"/>
      <c r="AF71" s="644" t="s">
        <v>986</v>
      </c>
      <c r="AG71" s="958"/>
      <c r="AH71" s="88"/>
      <c r="AI71" s="88"/>
      <c r="AJ71" s="958"/>
      <c r="AK71" s="88"/>
      <c r="AL71" s="88"/>
      <c r="AM71" s="940" t="s">
        <v>1319</v>
      </c>
      <c r="AN71" s="930">
        <f>AN56*AO71</f>
        <v>671265776.77145422</v>
      </c>
      <c r="AO71" s="931">
        <v>0.03</v>
      </c>
      <c r="AP71" s="898" t="s">
        <v>1358</v>
      </c>
      <c r="AQ71" s="905"/>
      <c r="AR71" s="936"/>
    </row>
    <row r="72" spans="3:75" x14ac:dyDescent="0.3">
      <c r="C72" s="158"/>
      <c r="D72" s="10"/>
      <c r="E72" s="10"/>
      <c r="F72" s="10"/>
      <c r="G72" s="159">
        <f>SUM(G53:G71)</f>
        <v>21179288.838500001</v>
      </c>
      <c r="H72" s="160"/>
      <c r="I72" s="172">
        <f>SUM(I53:I71)</f>
        <v>18215828.053124998</v>
      </c>
      <c r="J72" s="158"/>
      <c r="K72" s="481">
        <f>SUM(K53:K71)</f>
        <v>910791.40265625017</v>
      </c>
      <c r="L72" s="482">
        <f>AN34</f>
        <v>5.0700844497008459</v>
      </c>
      <c r="M72" s="480">
        <f>K72*L72</f>
        <v>4617789.327528676</v>
      </c>
      <c r="N72" s="239"/>
      <c r="O72" s="950">
        <f>AO53</f>
        <v>256</v>
      </c>
      <c r="P72" s="239"/>
      <c r="Q72" s="480">
        <f>M72*O72</f>
        <v>1182154067.8473411</v>
      </c>
      <c r="R72" s="239"/>
      <c r="S72" s="956">
        <f>M72*S71</f>
        <v>1182154067.8473411</v>
      </c>
      <c r="T72" s="239"/>
      <c r="U72" s="910">
        <f>Q72+S72</f>
        <v>2364308135.6946821</v>
      </c>
      <c r="V72" s="949" t="s">
        <v>1330</v>
      </c>
      <c r="W72" s="910">
        <f>W69*W71</f>
        <v>1989164570.4746923</v>
      </c>
      <c r="X72" s="949" t="s">
        <v>1330</v>
      </c>
      <c r="Y72" s="910">
        <f>AN59+AN60+AN61+AN62+AN63</f>
        <v>5593881473.0954523</v>
      </c>
      <c r="Z72" s="949" t="s">
        <v>1331</v>
      </c>
      <c r="AA72" s="910">
        <f>U72+W72+Y72</f>
        <v>9947354179.2648277</v>
      </c>
      <c r="AB72" s="238"/>
      <c r="AC72" s="238"/>
      <c r="AD72" s="961"/>
      <c r="AE72" s="644" t="s">
        <v>805</v>
      </c>
      <c r="AF72" s="958"/>
      <c r="AG72" s="644" t="s">
        <v>987</v>
      </c>
      <c r="AH72" s="958"/>
      <c r="AI72" s="181"/>
      <c r="AJ72" s="958"/>
      <c r="AK72" s="88"/>
      <c r="AL72" s="88"/>
      <c r="AM72" s="940" t="s">
        <v>1312</v>
      </c>
      <c r="AN72" s="930">
        <f>AN56*AO72</f>
        <v>671265776.77145422</v>
      </c>
      <c r="AO72" s="931">
        <v>0.03</v>
      </c>
      <c r="AP72" s="898" t="s">
        <v>1359</v>
      </c>
      <c r="AQ72" s="905"/>
      <c r="AR72" s="812"/>
    </row>
    <row r="73" spans="3:75"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I73" s="88"/>
      <c r="AJ73" s="88"/>
      <c r="AK73" s="88"/>
      <c r="AL73" s="88"/>
      <c r="AM73" s="940" t="s">
        <v>1313</v>
      </c>
      <c r="AN73" s="930">
        <f>AN56*AO73</f>
        <v>447510517.84763622</v>
      </c>
      <c r="AO73" s="931">
        <v>0.02</v>
      </c>
      <c r="AP73" s="898" t="s">
        <v>1361</v>
      </c>
      <c r="AQ73" s="905"/>
      <c r="AR73" s="255"/>
    </row>
    <row r="74" spans="3:75"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78">
        <v>5442000000</v>
      </c>
      <c r="AF74" s="963">
        <f t="shared" ref="AF74:AF77" si="53">AF73</f>
        <v>2.5000000000000001E-2</v>
      </c>
      <c r="AG74" s="78">
        <f t="shared" ref="AG74:AG77" si="54">AE74*AF74</f>
        <v>136050000</v>
      </c>
      <c r="AI74" s="88"/>
      <c r="AJ74" s="252"/>
      <c r="AK74" s="252"/>
      <c r="AL74" s="252"/>
      <c r="AM74" s="940" t="s">
        <v>1324</v>
      </c>
      <c r="AN74" s="930">
        <f>AN56*AO74</f>
        <v>1118776294.6190906</v>
      </c>
      <c r="AO74" s="931">
        <v>0.05</v>
      </c>
      <c r="AP74" s="898" t="s">
        <v>1439</v>
      </c>
      <c r="AQ74" s="905"/>
      <c r="AR74" s="255"/>
    </row>
    <row r="75" spans="3:75"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55">AD74+1</f>
        <v>2017</v>
      </c>
      <c r="AE75" s="78">
        <f t="shared" ref="AE75:AE77" si="56">AE74+AG74</f>
        <v>5578050000</v>
      </c>
      <c r="AF75" s="963">
        <f t="shared" si="53"/>
        <v>2.5000000000000001E-2</v>
      </c>
      <c r="AG75" s="78">
        <f t="shared" si="54"/>
        <v>139451250</v>
      </c>
      <c r="AI75" s="88"/>
      <c r="AJ75" s="252"/>
      <c r="AK75" s="88"/>
      <c r="AL75" s="88"/>
      <c r="AM75" s="940" t="s">
        <v>1306</v>
      </c>
      <c r="AN75" s="930">
        <f>AN56*AO75</f>
        <v>447510517.84763622</v>
      </c>
      <c r="AO75" s="931">
        <v>0.02</v>
      </c>
      <c r="AP75" s="899" t="s">
        <v>1360</v>
      </c>
      <c r="AQ75" s="932"/>
      <c r="AR75" s="255"/>
    </row>
    <row r="76" spans="3:75" x14ac:dyDescent="0.3">
      <c r="R76" s="88"/>
      <c r="S76" s="252"/>
      <c r="T76" s="88"/>
      <c r="U76" s="88"/>
      <c r="V76" s="88"/>
      <c r="W76" s="88"/>
      <c r="X76" s="88"/>
      <c r="Y76" s="88"/>
      <c r="Z76" s="361" t="s">
        <v>1347</v>
      </c>
      <c r="AA76" s="736">
        <f>AA72</f>
        <v>9947354179.2648277</v>
      </c>
      <c r="AB76" s="88"/>
      <c r="AD76" s="960">
        <f t="shared" si="55"/>
        <v>2018</v>
      </c>
      <c r="AE76" s="78">
        <f t="shared" si="56"/>
        <v>5717501250</v>
      </c>
      <c r="AF76" s="963">
        <f t="shared" si="53"/>
        <v>2.5000000000000001E-2</v>
      </c>
      <c r="AG76" s="78">
        <f t="shared" si="54"/>
        <v>142937531.25</v>
      </c>
      <c r="AI76" s="88"/>
      <c r="AJ76" s="252"/>
      <c r="AK76" s="88"/>
      <c r="AL76" s="88"/>
      <c r="AM76" s="941" t="s">
        <v>1309</v>
      </c>
      <c r="AN76" s="930">
        <f>AN56*AO76</f>
        <v>447510517.84763622</v>
      </c>
      <c r="AO76" s="931">
        <v>0.02</v>
      </c>
      <c r="AP76" s="899" t="s">
        <v>1440</v>
      </c>
      <c r="AQ76" s="932"/>
      <c r="AR76" s="255"/>
    </row>
    <row r="77" spans="3:75" x14ac:dyDescent="0.3">
      <c r="R77" s="88"/>
      <c r="S77" s="252"/>
      <c r="T77" s="88"/>
      <c r="U77" s="88"/>
      <c r="V77" s="88"/>
      <c r="W77" s="88"/>
      <c r="X77" s="88"/>
      <c r="Y77" s="88"/>
      <c r="Z77" s="88"/>
      <c r="AA77" s="541"/>
      <c r="AB77" s="252"/>
      <c r="AD77" s="960">
        <f t="shared" si="55"/>
        <v>2019</v>
      </c>
      <c r="AE77" s="78">
        <f t="shared" si="56"/>
        <v>5860438781.25</v>
      </c>
      <c r="AF77" s="963">
        <f t="shared" si="53"/>
        <v>2.5000000000000001E-2</v>
      </c>
      <c r="AG77" s="78">
        <f t="shared" si="54"/>
        <v>146510969.53125</v>
      </c>
      <c r="AI77" s="88"/>
      <c r="AJ77" s="88"/>
      <c r="AK77" s="88"/>
      <c r="AL77" s="88"/>
      <c r="AM77" s="940" t="s">
        <v>1310</v>
      </c>
      <c r="AN77" s="904">
        <f>AN56*AO77</f>
        <v>1118776294.6190906</v>
      </c>
      <c r="AO77" s="1065">
        <v>0.05</v>
      </c>
      <c r="AP77" s="898" t="s">
        <v>1362</v>
      </c>
      <c r="AQ77" s="905"/>
      <c r="AR77" s="255"/>
    </row>
    <row r="78" spans="3:75" x14ac:dyDescent="0.3">
      <c r="R78" s="88"/>
      <c r="S78" s="252"/>
      <c r="T78" s="88"/>
      <c r="U78" s="88"/>
      <c r="V78" s="88"/>
      <c r="W78" s="88"/>
      <c r="X78" s="88"/>
      <c r="Y78" s="88"/>
      <c r="Z78" s="555" t="s">
        <v>1333</v>
      </c>
      <c r="AA78" s="957">
        <f>AA72/W72</f>
        <v>5.0007698341877269</v>
      </c>
      <c r="AB78" s="252"/>
      <c r="AD78" s="960">
        <f t="shared" ref="AD78:AD106" si="57">AD77+1</f>
        <v>2020</v>
      </c>
      <c r="AE78" s="78">
        <f t="shared" ref="AE78:AE106" si="58">AE77+AG77</f>
        <v>6006949750.78125</v>
      </c>
      <c r="AF78" s="963">
        <f t="shared" ref="AF78:AF106" si="59">AF77</f>
        <v>2.5000000000000001E-2</v>
      </c>
      <c r="AG78" s="78">
        <f t="shared" ref="AG78:AG106" si="60">AE78*AF78</f>
        <v>150173743.76953125</v>
      </c>
      <c r="AI78" s="88"/>
      <c r="AJ78" s="88"/>
      <c r="AK78" s="88"/>
      <c r="AL78" s="88"/>
      <c r="AM78" s="940" t="s">
        <v>1452</v>
      </c>
      <c r="AN78" s="904">
        <f>AN56*AO78</f>
        <v>671265776.77145422</v>
      </c>
      <c r="AO78" s="1065">
        <v>0.03</v>
      </c>
      <c r="AP78" s="898" t="s">
        <v>1450</v>
      </c>
      <c r="AQ78" s="905"/>
      <c r="AR78" s="255"/>
      <c r="BV78" s="690"/>
    </row>
    <row r="79" spans="3:75" x14ac:dyDescent="0.3">
      <c r="R79" s="88"/>
      <c r="S79" s="252"/>
      <c r="T79" s="88"/>
      <c r="U79" s="88"/>
      <c r="V79" s="88"/>
      <c r="W79" s="88"/>
      <c r="X79" s="88"/>
      <c r="AB79" s="252"/>
      <c r="AD79" s="960">
        <f t="shared" si="57"/>
        <v>2021</v>
      </c>
      <c r="AE79" s="78">
        <f t="shared" si="58"/>
        <v>6157123494.5507813</v>
      </c>
      <c r="AF79" s="963">
        <f t="shared" si="59"/>
        <v>2.5000000000000001E-2</v>
      </c>
      <c r="AG79" s="78">
        <f t="shared" si="60"/>
        <v>153928087.36376953</v>
      </c>
      <c r="AI79" s="88"/>
      <c r="AJ79" s="88"/>
      <c r="AK79" s="88"/>
      <c r="AL79" s="88"/>
      <c r="AM79" s="940" t="s">
        <v>1453</v>
      </c>
      <c r="AN79" s="904">
        <f>AN56*AO79</f>
        <v>0</v>
      </c>
      <c r="AO79" s="1065">
        <v>0</v>
      </c>
      <c r="AP79" s="898" t="s">
        <v>1451</v>
      </c>
      <c r="AQ79" s="905"/>
      <c r="AR79" s="255"/>
      <c r="BV79" s="690"/>
    </row>
    <row r="80" spans="3:75" x14ac:dyDescent="0.3">
      <c r="R80" s="88"/>
      <c r="S80" s="252"/>
      <c r="T80" s="88"/>
      <c r="U80" s="88"/>
      <c r="V80" s="88"/>
      <c r="W80" s="88"/>
      <c r="X80" s="88"/>
      <c r="AB80" s="88"/>
      <c r="AD80" s="960">
        <f t="shared" si="57"/>
        <v>2022</v>
      </c>
      <c r="AE80" s="78">
        <f t="shared" si="58"/>
        <v>6311051581.9145508</v>
      </c>
      <c r="AF80" s="963">
        <f t="shared" si="59"/>
        <v>2.5000000000000001E-2</v>
      </c>
      <c r="AG80" s="78">
        <f t="shared" si="60"/>
        <v>157776289.54786378</v>
      </c>
      <c r="AI80" s="88"/>
      <c r="AJ80" s="88"/>
      <c r="AK80" s="88"/>
      <c r="AL80" s="88"/>
      <c r="AM80" s="940" t="s">
        <v>1326</v>
      </c>
      <c r="AN80" s="904">
        <f>AN56*AO80</f>
        <v>671265776.77145422</v>
      </c>
      <c r="AO80" s="1065">
        <v>0.03</v>
      </c>
      <c r="AP80" s="898" t="s">
        <v>1348</v>
      </c>
      <c r="AQ80" s="905"/>
      <c r="AR80" s="251"/>
    </row>
    <row r="81" spans="18:45" x14ac:dyDescent="0.3">
      <c r="R81" s="88"/>
      <c r="S81" s="252"/>
      <c r="T81" s="88"/>
      <c r="U81" s="88"/>
      <c r="V81" s="88"/>
      <c r="W81" s="88"/>
      <c r="AB81" s="88"/>
      <c r="AD81" s="960">
        <f t="shared" si="57"/>
        <v>2023</v>
      </c>
      <c r="AE81" s="78">
        <f t="shared" si="58"/>
        <v>6468827871.4624147</v>
      </c>
      <c r="AF81" s="963">
        <f t="shared" si="59"/>
        <v>2.5000000000000001E-2</v>
      </c>
      <c r="AG81" s="78">
        <f t="shared" si="60"/>
        <v>161720696.78656039</v>
      </c>
      <c r="AI81" s="88"/>
      <c r="AJ81" s="88"/>
      <c r="AK81" s="88"/>
      <c r="AL81" s="88"/>
      <c r="AM81" s="940" t="s">
        <v>1298</v>
      </c>
      <c r="AN81" s="930">
        <f>AN56*AO81</f>
        <v>671265776.77145422</v>
      </c>
      <c r="AO81" s="931">
        <v>0.03</v>
      </c>
      <c r="AP81" s="898" t="s">
        <v>1363</v>
      </c>
      <c r="AQ81" s="905"/>
      <c r="AR81" s="251"/>
    </row>
    <row r="82" spans="18:45" x14ac:dyDescent="0.3">
      <c r="R82" s="88"/>
      <c r="S82" s="252"/>
      <c r="T82" s="88"/>
      <c r="U82" s="88"/>
      <c r="V82" s="88"/>
      <c r="W82" s="88"/>
      <c r="X82" s="88"/>
      <c r="Y82" s="88"/>
      <c r="Z82" s="88"/>
      <c r="AA82" s="88"/>
      <c r="AB82" s="88"/>
      <c r="AD82" s="965">
        <f t="shared" si="57"/>
        <v>2024</v>
      </c>
      <c r="AE82" s="182">
        <f t="shared" si="58"/>
        <v>6630548568.2489748</v>
      </c>
      <c r="AF82" s="966">
        <f t="shared" si="59"/>
        <v>2.5000000000000001E-2</v>
      </c>
      <c r="AG82" s="967">
        <f t="shared" si="60"/>
        <v>165763714.20622438</v>
      </c>
      <c r="AI82" s="88"/>
      <c r="AJ82" s="88"/>
      <c r="AK82" s="88"/>
      <c r="AL82" s="88"/>
      <c r="AM82" s="942"/>
      <c r="AN82" s="1067"/>
      <c r="AO82" s="1068">
        <f>SUM(AO58:AO81)</f>
        <v>0.99069514769490896</v>
      </c>
      <c r="AP82" s="1069"/>
      <c r="AQ82" s="1070"/>
      <c r="AR82" s="251"/>
    </row>
    <row r="83" spans="18:45" x14ac:dyDescent="0.3">
      <c r="R83" s="88"/>
      <c r="S83" s="252"/>
      <c r="T83" s="88"/>
      <c r="U83" s="88"/>
      <c r="V83" s="88"/>
      <c r="W83" s="88"/>
      <c r="X83" s="88"/>
      <c r="Y83" s="88"/>
      <c r="Z83" s="88"/>
      <c r="AA83" s="88"/>
      <c r="AB83" s="88"/>
      <c r="AD83" s="960">
        <f t="shared" si="57"/>
        <v>2025</v>
      </c>
      <c r="AE83" s="78">
        <f t="shared" si="58"/>
        <v>6796312282.4551992</v>
      </c>
      <c r="AF83" s="963">
        <f t="shared" si="59"/>
        <v>2.5000000000000001E-2</v>
      </c>
      <c r="AG83" s="78">
        <f t="shared" si="60"/>
        <v>169907807.06138</v>
      </c>
      <c r="AI83" s="88"/>
      <c r="AJ83" s="88"/>
      <c r="AK83" s="88"/>
      <c r="AL83" s="88"/>
      <c r="AM83" s="941" t="s">
        <v>1321</v>
      </c>
      <c r="AN83" s="904">
        <f>AN56*AO83</f>
        <v>208200963.67735308</v>
      </c>
      <c r="AO83" s="1065">
        <f>100%-AO82</f>
        <v>9.3048523050910381E-3</v>
      </c>
      <c r="AP83" s="898" t="s">
        <v>148</v>
      </c>
      <c r="AQ83" s="905"/>
      <c r="AR83" s="251"/>
    </row>
    <row r="84" spans="18:45" x14ac:dyDescent="0.3">
      <c r="R84" s="88"/>
      <c r="S84" s="88"/>
      <c r="T84" s="88"/>
      <c r="U84" s="88"/>
      <c r="V84" s="88"/>
      <c r="W84" s="88"/>
      <c r="X84" s="88"/>
      <c r="Y84" s="88"/>
      <c r="Z84" s="88"/>
      <c r="AA84" s="88"/>
      <c r="AB84" s="88"/>
      <c r="AD84" s="960">
        <f t="shared" si="57"/>
        <v>2026</v>
      </c>
      <c r="AE84" s="78">
        <f t="shared" si="58"/>
        <v>6966220089.5165796</v>
      </c>
      <c r="AF84" s="963">
        <f t="shared" si="59"/>
        <v>2.5000000000000001E-2</v>
      </c>
      <c r="AG84" s="78">
        <f t="shared" si="60"/>
        <v>174155502.2379145</v>
      </c>
      <c r="AI84" s="88"/>
      <c r="AJ84" s="88"/>
      <c r="AK84" s="88"/>
      <c r="AL84" s="88"/>
      <c r="AM84" s="943" t="s">
        <v>1322</v>
      </c>
      <c r="AN84" s="1071">
        <f>SUM(AN58:AN83)</f>
        <v>22375525892.381798</v>
      </c>
      <c r="AO84" s="1072">
        <f>AO82+AO83</f>
        <v>1</v>
      </c>
      <c r="AP84" s="1073" t="s">
        <v>59</v>
      </c>
      <c r="AQ84" s="1074"/>
      <c r="AR84" s="251"/>
    </row>
    <row r="85" spans="18:45" x14ac:dyDescent="0.3">
      <c r="R85" s="88"/>
      <c r="S85" s="88"/>
      <c r="T85" s="88"/>
      <c r="U85" s="88"/>
      <c r="V85" s="88"/>
      <c r="AD85" s="960">
        <f t="shared" si="57"/>
        <v>2027</v>
      </c>
      <c r="AE85" s="78">
        <f t="shared" si="58"/>
        <v>7140375591.7544937</v>
      </c>
      <c r="AF85" s="963">
        <f t="shared" si="59"/>
        <v>2.5000000000000001E-2</v>
      </c>
      <c r="AG85" s="78">
        <f t="shared" si="60"/>
        <v>178509389.79386234</v>
      </c>
      <c r="AI85" s="88"/>
      <c r="AJ85" s="88"/>
      <c r="AK85" s="88"/>
      <c r="AL85" s="88"/>
      <c r="AM85" s="943" t="s">
        <v>1329</v>
      </c>
      <c r="AN85" s="179">
        <f>AN59+AN60+AN61+AN62+AN63</f>
        <v>5593881473.0954523</v>
      </c>
      <c r="AO85" s="160"/>
      <c r="AP85" s="160" t="s">
        <v>1364</v>
      </c>
      <c r="AQ85" s="303"/>
      <c r="AR85" s="251"/>
    </row>
    <row r="86" spans="18:45" x14ac:dyDescent="0.3">
      <c r="AD86" s="960">
        <f t="shared" si="57"/>
        <v>2028</v>
      </c>
      <c r="AE86" s="78">
        <f t="shared" si="58"/>
        <v>7318884981.5483561</v>
      </c>
      <c r="AF86" s="963">
        <f t="shared" si="59"/>
        <v>2.5000000000000001E-2</v>
      </c>
      <c r="AG86" s="78">
        <f t="shared" si="60"/>
        <v>182972124.53870893</v>
      </c>
      <c r="AI86" s="88"/>
      <c r="AJ86" s="88"/>
      <c r="AK86" s="88"/>
      <c r="AL86" s="88"/>
      <c r="AM86" s="364"/>
      <c r="AN86" s="1075"/>
      <c r="AO86" s="1076"/>
      <c r="AP86" s="1076"/>
      <c r="AQ86" s="1077"/>
      <c r="AR86" s="251"/>
    </row>
    <row r="87" spans="18:45" x14ac:dyDescent="0.3">
      <c r="AD87" s="960">
        <f t="shared" si="57"/>
        <v>2029</v>
      </c>
      <c r="AE87" s="78">
        <f t="shared" si="58"/>
        <v>7501857106.0870647</v>
      </c>
      <c r="AF87" s="963">
        <f t="shared" si="59"/>
        <v>2.5000000000000001E-2</v>
      </c>
      <c r="AG87" s="78">
        <f t="shared" si="60"/>
        <v>187546427.65217662</v>
      </c>
      <c r="AI87" s="88"/>
      <c r="AJ87" s="88"/>
      <c r="AK87" s="88"/>
      <c r="AL87" s="88"/>
      <c r="AM87" s="1007" t="s">
        <v>1336</v>
      </c>
      <c r="AN87" s="1066">
        <f>AA72</f>
        <v>9947354179.2648277</v>
      </c>
      <c r="AO87" s="251" t="s">
        <v>1335</v>
      </c>
      <c r="AP87" s="251"/>
      <c r="AQ87" s="251"/>
      <c r="AR87" s="251"/>
    </row>
    <row r="88" spans="18:45" x14ac:dyDescent="0.3">
      <c r="AD88" s="960">
        <f t="shared" si="57"/>
        <v>2030</v>
      </c>
      <c r="AE88" s="78">
        <f t="shared" si="58"/>
        <v>7689403533.7392416</v>
      </c>
      <c r="AF88" s="963">
        <f t="shared" si="59"/>
        <v>2.5000000000000001E-2</v>
      </c>
      <c r="AG88" s="78">
        <f t="shared" si="60"/>
        <v>192235088.34348106</v>
      </c>
      <c r="AI88" s="88"/>
      <c r="AJ88" s="88"/>
      <c r="AK88" s="88"/>
      <c r="AL88" s="88"/>
      <c r="AM88" s="1008" t="s">
        <v>1337</v>
      </c>
      <c r="AN88" s="1009">
        <f>W72</f>
        <v>1989164570.4746923</v>
      </c>
      <c r="AO88" s="898" t="s">
        <v>1338</v>
      </c>
      <c r="AP88" s="898"/>
      <c r="AQ88" s="251"/>
      <c r="AR88" s="251"/>
    </row>
    <row r="89" spans="18:45" x14ac:dyDescent="0.3">
      <c r="AD89" s="960">
        <f t="shared" si="57"/>
        <v>2031</v>
      </c>
      <c r="AE89" s="78">
        <f t="shared" si="58"/>
        <v>7881638622.0827227</v>
      </c>
      <c r="AF89" s="963">
        <f t="shared" si="59"/>
        <v>2.5000000000000001E-2</v>
      </c>
      <c r="AG89" s="78">
        <f t="shared" si="60"/>
        <v>197040965.55206808</v>
      </c>
      <c r="AI89" s="88"/>
      <c r="AJ89" s="88"/>
      <c r="AK89" s="88"/>
      <c r="AL89" s="88"/>
      <c r="AM89" s="106"/>
      <c r="AN89" s="745"/>
      <c r="AO89" s="251"/>
      <c r="AP89" s="251"/>
      <c r="AQ89" s="251"/>
      <c r="AR89" s="251"/>
      <c r="AS89" s="252"/>
    </row>
    <row r="90" spans="18:45" x14ac:dyDescent="0.3">
      <c r="AD90" s="960">
        <f t="shared" si="57"/>
        <v>2032</v>
      </c>
      <c r="AE90" s="78">
        <f t="shared" si="58"/>
        <v>8078679587.6347904</v>
      </c>
      <c r="AF90" s="963">
        <f t="shared" si="59"/>
        <v>2.5000000000000001E-2</v>
      </c>
      <c r="AG90" s="78">
        <f t="shared" si="60"/>
        <v>201966989.69086978</v>
      </c>
      <c r="AI90" s="88"/>
      <c r="AJ90" s="88"/>
      <c r="AK90" s="88"/>
      <c r="AL90" s="88"/>
      <c r="AN90" s="999" t="s">
        <v>1355</v>
      </c>
      <c r="AO90" s="252"/>
      <c r="AP90" s="252"/>
      <c r="AQ90" s="252"/>
      <c r="AR90" s="252"/>
      <c r="AS90" s="252"/>
    </row>
    <row r="91" spans="18:45" x14ac:dyDescent="0.3">
      <c r="AD91" s="960">
        <f t="shared" si="57"/>
        <v>2033</v>
      </c>
      <c r="AE91" s="78">
        <f t="shared" si="58"/>
        <v>8280646577.3256598</v>
      </c>
      <c r="AF91" s="963">
        <f t="shared" si="59"/>
        <v>2.5000000000000001E-2</v>
      </c>
      <c r="AG91" s="78">
        <f t="shared" si="60"/>
        <v>207016164.4331415</v>
      </c>
      <c r="AI91" s="88"/>
      <c r="AJ91" s="88"/>
      <c r="AK91" s="88"/>
      <c r="AL91" s="88"/>
      <c r="AO91" s="252"/>
      <c r="AP91" s="252"/>
      <c r="AQ91" s="252"/>
      <c r="AR91" s="252"/>
      <c r="AS91" s="252"/>
    </row>
    <row r="92" spans="18:45" x14ac:dyDescent="0.3">
      <c r="AD92" s="960">
        <f t="shared" si="57"/>
        <v>2034</v>
      </c>
      <c r="AE92" s="78">
        <f t="shared" si="58"/>
        <v>8487662741.7588015</v>
      </c>
      <c r="AF92" s="963">
        <f t="shared" si="59"/>
        <v>2.5000000000000001E-2</v>
      </c>
      <c r="AG92" s="78">
        <f t="shared" si="60"/>
        <v>212191568.54397005</v>
      </c>
      <c r="AI92" s="88"/>
      <c r="AJ92" s="88"/>
      <c r="AK92" s="88"/>
      <c r="AL92" s="252"/>
      <c r="AO92" s="252"/>
      <c r="AP92" s="252"/>
      <c r="AQ92" s="252"/>
      <c r="AR92" s="252"/>
      <c r="AS92" s="252"/>
    </row>
    <row r="93" spans="18:45" x14ac:dyDescent="0.3">
      <c r="AD93" s="960">
        <f t="shared" si="57"/>
        <v>2035</v>
      </c>
      <c r="AE93" s="78">
        <f t="shared" si="58"/>
        <v>8699854310.3027706</v>
      </c>
      <c r="AF93" s="963">
        <f t="shared" si="59"/>
        <v>2.5000000000000001E-2</v>
      </c>
      <c r="AG93" s="78">
        <f t="shared" si="60"/>
        <v>217496357.75756928</v>
      </c>
      <c r="AO93" s="252"/>
      <c r="AP93" s="252"/>
      <c r="AQ93" s="252"/>
      <c r="AR93" s="252"/>
      <c r="AS93" s="252"/>
    </row>
    <row r="94" spans="18:45" x14ac:dyDescent="0.3">
      <c r="AD94" s="960">
        <f t="shared" si="57"/>
        <v>2036</v>
      </c>
      <c r="AE94" s="78">
        <f t="shared" si="58"/>
        <v>8917350668.060339</v>
      </c>
      <c r="AF94" s="963">
        <f t="shared" si="59"/>
        <v>2.5000000000000001E-2</v>
      </c>
      <c r="AG94" s="78">
        <f t="shared" si="60"/>
        <v>222933766.70150849</v>
      </c>
      <c r="AO94" s="252"/>
      <c r="AP94" s="252"/>
      <c r="AQ94" s="252"/>
      <c r="AR94" s="252"/>
      <c r="AS94" s="252"/>
    </row>
    <row r="95" spans="18:45" x14ac:dyDescent="0.3">
      <c r="AD95" s="960">
        <f t="shared" si="57"/>
        <v>2037</v>
      </c>
      <c r="AE95" s="78">
        <f t="shared" si="58"/>
        <v>9140284434.7618465</v>
      </c>
      <c r="AF95" s="963">
        <f t="shared" si="59"/>
        <v>2.5000000000000001E-2</v>
      </c>
      <c r="AG95" s="78">
        <f t="shared" si="60"/>
        <v>228507110.86904618</v>
      </c>
      <c r="AO95" s="252"/>
      <c r="AP95" s="252"/>
      <c r="AQ95" s="252"/>
      <c r="AR95" s="252"/>
      <c r="AS95" s="252"/>
    </row>
    <row r="96" spans="18:45" x14ac:dyDescent="0.3">
      <c r="AD96" s="960">
        <f t="shared" si="57"/>
        <v>2038</v>
      </c>
      <c r="AE96" s="78">
        <f t="shared" si="58"/>
        <v>9368791545.6308918</v>
      </c>
      <c r="AF96" s="963">
        <f t="shared" si="59"/>
        <v>2.5000000000000001E-2</v>
      </c>
      <c r="AG96" s="78">
        <f t="shared" si="60"/>
        <v>234219788.64077231</v>
      </c>
      <c r="AO96" s="252"/>
      <c r="AP96" s="252"/>
      <c r="AQ96" s="252"/>
      <c r="AR96" s="252"/>
      <c r="AS96" s="252"/>
    </row>
    <row r="97" spans="30:45" x14ac:dyDescent="0.3">
      <c r="AD97" s="960">
        <f t="shared" si="57"/>
        <v>2039</v>
      </c>
      <c r="AE97" s="78">
        <f t="shared" si="58"/>
        <v>9603011334.2716637</v>
      </c>
      <c r="AF97" s="963">
        <f t="shared" si="59"/>
        <v>2.5000000000000001E-2</v>
      </c>
      <c r="AG97" s="78">
        <f t="shared" si="60"/>
        <v>240075283.35679162</v>
      </c>
      <c r="AO97" s="252"/>
      <c r="AP97" s="252"/>
      <c r="AQ97" s="252"/>
      <c r="AR97" s="252"/>
      <c r="AS97" s="252"/>
    </row>
    <row r="98" spans="30:45" x14ac:dyDescent="0.3">
      <c r="AD98" s="960">
        <f t="shared" si="57"/>
        <v>2040</v>
      </c>
      <c r="AE98" s="78">
        <f t="shared" si="58"/>
        <v>9843086617.6284561</v>
      </c>
      <c r="AF98" s="963">
        <f t="shared" si="59"/>
        <v>2.5000000000000001E-2</v>
      </c>
      <c r="AG98" s="78">
        <f t="shared" si="60"/>
        <v>246077165.44071141</v>
      </c>
    </row>
    <row r="99" spans="30:45" x14ac:dyDescent="0.3">
      <c r="AD99" s="960">
        <f t="shared" si="57"/>
        <v>2041</v>
      </c>
      <c r="AE99" s="78">
        <f t="shared" si="58"/>
        <v>10089163783.069168</v>
      </c>
      <c r="AF99" s="963">
        <f t="shared" si="59"/>
        <v>2.5000000000000001E-2</v>
      </c>
      <c r="AG99" s="78">
        <f t="shared" si="60"/>
        <v>252229094.57672921</v>
      </c>
    </row>
    <row r="100" spans="30:45" x14ac:dyDescent="0.3">
      <c r="AD100" s="960">
        <f t="shared" si="57"/>
        <v>2042</v>
      </c>
      <c r="AE100" s="78">
        <f t="shared" si="58"/>
        <v>10341392877.645897</v>
      </c>
      <c r="AF100" s="963">
        <f t="shared" si="59"/>
        <v>2.5000000000000001E-2</v>
      </c>
      <c r="AG100" s="78">
        <f t="shared" si="60"/>
        <v>258534821.94114745</v>
      </c>
    </row>
    <row r="101" spans="30:45" x14ac:dyDescent="0.3">
      <c r="AD101" s="960">
        <f t="shared" si="57"/>
        <v>2043</v>
      </c>
      <c r="AE101" s="78">
        <f t="shared" si="58"/>
        <v>10599927699.587044</v>
      </c>
      <c r="AF101" s="963">
        <f t="shared" si="59"/>
        <v>2.5000000000000001E-2</v>
      </c>
      <c r="AG101" s="78">
        <f t="shared" si="60"/>
        <v>264998192.48967612</v>
      </c>
    </row>
    <row r="102" spans="30:45" x14ac:dyDescent="0.3">
      <c r="AD102" s="960">
        <f t="shared" si="57"/>
        <v>2044</v>
      </c>
      <c r="AE102" s="78">
        <f t="shared" si="58"/>
        <v>10864925892.076719</v>
      </c>
      <c r="AF102" s="963">
        <f t="shared" si="59"/>
        <v>2.5000000000000001E-2</v>
      </c>
      <c r="AG102" s="78">
        <f t="shared" si="60"/>
        <v>271623147.30191797</v>
      </c>
    </row>
    <row r="103" spans="30:45" x14ac:dyDescent="0.3">
      <c r="AD103" s="960">
        <f t="shared" si="57"/>
        <v>2045</v>
      </c>
      <c r="AE103" s="78">
        <f t="shared" si="58"/>
        <v>11136549039.378637</v>
      </c>
      <c r="AF103" s="963">
        <f t="shared" si="59"/>
        <v>2.5000000000000001E-2</v>
      </c>
      <c r="AG103" s="78">
        <f t="shared" si="60"/>
        <v>278413725.98446596</v>
      </c>
    </row>
    <row r="104" spans="30:45" x14ac:dyDescent="0.3">
      <c r="AD104" s="960">
        <f t="shared" si="57"/>
        <v>2046</v>
      </c>
      <c r="AE104" s="78">
        <f t="shared" si="58"/>
        <v>11414962765.363104</v>
      </c>
      <c r="AF104" s="963">
        <f t="shared" si="59"/>
        <v>2.5000000000000001E-2</v>
      </c>
      <c r="AG104" s="78">
        <f t="shared" si="60"/>
        <v>285374069.13407761</v>
      </c>
    </row>
    <row r="105" spans="30:45" x14ac:dyDescent="0.3">
      <c r="AD105" s="960">
        <f t="shared" si="57"/>
        <v>2047</v>
      </c>
      <c r="AE105" s="78">
        <f t="shared" si="58"/>
        <v>11700336834.497181</v>
      </c>
      <c r="AF105" s="963">
        <f t="shared" si="59"/>
        <v>2.5000000000000001E-2</v>
      </c>
      <c r="AG105" s="78">
        <f t="shared" si="60"/>
        <v>292508420.86242956</v>
      </c>
    </row>
    <row r="106" spans="30:45" x14ac:dyDescent="0.3">
      <c r="AD106" s="960">
        <f t="shared" si="57"/>
        <v>2048</v>
      </c>
      <c r="AE106" s="78">
        <f t="shared" si="58"/>
        <v>11992845255.35961</v>
      </c>
      <c r="AF106" s="963">
        <f t="shared" si="59"/>
        <v>2.5000000000000001E-2</v>
      </c>
      <c r="AG106" s="78">
        <f t="shared" si="60"/>
        <v>299821131.38399023</v>
      </c>
    </row>
  </sheetData>
  <pageMargins left="0.7" right="0.7" top="0.75" bottom="0.75" header="0.3" footer="0.3"/>
  <pageSetup paperSize="9" orientation="portrait" r:id="rId1"/>
  <ignoredErrors>
    <ignoredError sqref="L10:AL27 BT25:BT35 D5:AK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CCE3F-23EA-42F7-B5DC-E86A68489772}">
  <dimension ref="A2:BY106"/>
  <sheetViews>
    <sheetView showGridLines="0" topLeftCell="AK28" zoomScaleNormal="100" workbookViewId="0">
      <selection activeCell="AK54" sqref="AK54"/>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21.4414062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44140625" style="1" bestFit="1" customWidth="1"/>
    <col min="30" max="30" width="8.88671875" style="1" customWidth="1"/>
    <col min="31" max="31" width="20.33203125" style="1" bestFit="1" customWidth="1"/>
    <col min="32" max="32" width="9" style="1" bestFit="1" customWidth="1"/>
    <col min="33" max="33" width="21.44140625" style="1" bestFit="1" customWidth="1"/>
    <col min="34" max="34" width="9" style="1" bestFit="1" customWidth="1"/>
    <col min="35" max="35" width="19.5546875" style="1" bestFit="1" customWidth="1"/>
    <col min="36" max="36" width="9" style="1" bestFit="1" customWidth="1"/>
    <col min="37" max="37" width="23.6640625" style="1" customWidth="1"/>
    <col min="38" max="38" width="9.5546875" style="1" bestFit="1" customWidth="1"/>
    <col min="39" max="39" width="36.44140625" style="1" customWidth="1"/>
    <col min="40" max="40" width="28.109375"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90" customWidth="1"/>
    <col min="75" max="75" width="8.88671875" style="12"/>
    <col min="76" max="76" width="8.88671875" style="1"/>
    <col min="77" max="77" width="17.44140625" style="1" bestFit="1" customWidth="1"/>
    <col min="78" max="16384" width="8.88671875" style="1"/>
  </cols>
  <sheetData>
    <row r="2" spans="1:75"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G2" s="916"/>
      <c r="BK2" s="916"/>
      <c r="BV2" s="917"/>
      <c r="BW2" s="916"/>
    </row>
    <row r="3" spans="1:75" ht="25.95" customHeight="1" x14ac:dyDescent="0.5">
      <c r="C3" s="570" t="s">
        <v>1446</v>
      </c>
      <c r="F3" s="1081"/>
      <c r="G3" s="648"/>
      <c r="AN3" s="999" t="s">
        <v>1355</v>
      </c>
    </row>
    <row r="4" spans="1:75"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row>
    <row r="5" spans="1:75" ht="18.600000000000001" x14ac:dyDescent="0.45">
      <c r="C5" s="37" t="s">
        <v>972</v>
      </c>
      <c r="D5" s="619"/>
      <c r="E5" s="408">
        <f>E11</f>
        <v>2403526284.5562449</v>
      </c>
      <c r="F5" s="1082">
        <v>1</v>
      </c>
      <c r="G5" s="408">
        <f>E5*F5</f>
        <v>2403526284.5562449</v>
      </c>
      <c r="H5" s="409">
        <v>0.9</v>
      </c>
      <c r="I5" s="408">
        <f>G5*H5</f>
        <v>2163173656.1006203</v>
      </c>
      <c r="J5" s="409">
        <v>1</v>
      </c>
      <c r="K5" s="408">
        <f>I5*J5</f>
        <v>2163173656.1006203</v>
      </c>
      <c r="L5" s="409">
        <f>H5</f>
        <v>0.9</v>
      </c>
      <c r="M5" s="408">
        <f>K5*L5</f>
        <v>1946856290.4905584</v>
      </c>
      <c r="N5" s="409">
        <f>J5</f>
        <v>1</v>
      </c>
      <c r="O5" s="408">
        <f>M5*N5</f>
        <v>1946856290.4905584</v>
      </c>
      <c r="P5" s="409">
        <f>L5</f>
        <v>0.9</v>
      </c>
      <c r="Q5" s="408">
        <f>O5*P5</f>
        <v>1752170661.4415026</v>
      </c>
      <c r="R5" s="409">
        <f>N5</f>
        <v>1</v>
      </c>
      <c r="S5" s="408">
        <f>Q5*R5</f>
        <v>1752170661.4415026</v>
      </c>
      <c r="T5" s="409">
        <f>P5</f>
        <v>0.9</v>
      </c>
      <c r="U5" s="408">
        <f>S5*T5</f>
        <v>1576953595.2973523</v>
      </c>
      <c r="V5" s="409">
        <f>R5</f>
        <v>1</v>
      </c>
      <c r="W5" s="408">
        <f>U5*V5</f>
        <v>1576953595.2973523</v>
      </c>
      <c r="X5" s="409">
        <f>T5</f>
        <v>0.9</v>
      </c>
      <c r="Y5" s="408">
        <f>W5*X5</f>
        <v>1419258235.7676172</v>
      </c>
      <c r="Z5" s="409">
        <f>V5</f>
        <v>1</v>
      </c>
      <c r="AA5" s="408">
        <f>Y5*Z5</f>
        <v>1419258235.7676172</v>
      </c>
      <c r="AB5" s="409">
        <f>X5</f>
        <v>0.9</v>
      </c>
      <c r="AC5" s="408">
        <f>AA5*AB5</f>
        <v>1277332412.1908555</v>
      </c>
      <c r="AD5" s="409">
        <f>Z5</f>
        <v>1</v>
      </c>
      <c r="AE5" s="408">
        <f>AC5*AD5</f>
        <v>1277332412.1908555</v>
      </c>
      <c r="AF5" s="409">
        <f>AB5</f>
        <v>0.9</v>
      </c>
      <c r="AG5" s="408">
        <f>AE5*AF5</f>
        <v>1149599170.97177</v>
      </c>
      <c r="AH5" s="409">
        <f>AD5</f>
        <v>1</v>
      </c>
      <c r="AI5" s="408">
        <f>AG5*AH5</f>
        <v>1149599170.97177</v>
      </c>
      <c r="AJ5" s="409">
        <f>AF5</f>
        <v>0.9</v>
      </c>
      <c r="AK5" s="408">
        <f>AI5*AJ5</f>
        <v>1034639253.874593</v>
      </c>
      <c r="AL5" s="409">
        <f>AH5</f>
        <v>1</v>
      </c>
      <c r="AM5" s="408">
        <f>AK5*AL5</f>
        <v>1034639253.874593</v>
      </c>
      <c r="AN5" s="719">
        <f>G5+I5+M5+Q5+U5+Y5+AC5+AG5+AK5</f>
        <v>14723509560.691114</v>
      </c>
      <c r="AP5" s="621">
        <f>AJ5</f>
        <v>0.9</v>
      </c>
      <c r="AQ5" s="622">
        <f>AM5*AP5</f>
        <v>931175328.48713374</v>
      </c>
      <c r="AR5" s="626"/>
      <c r="AS5" s="626"/>
      <c r="AT5" s="627"/>
    </row>
    <row r="6" spans="1:75" x14ac:dyDescent="0.3">
      <c r="F6" s="1081"/>
      <c r="AN6" s="93"/>
      <c r="AT6" s="628"/>
    </row>
    <row r="7" spans="1:75"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462" t="s">
        <v>749</v>
      </c>
      <c r="AG7" s="170" t="s">
        <v>1379</v>
      </c>
      <c r="AH7" s="175" t="s">
        <v>297</v>
      </c>
      <c r="AI7" s="170" t="s">
        <v>59</v>
      </c>
      <c r="AJ7" s="301" t="s">
        <v>749</v>
      </c>
      <c r="AK7" s="121" t="s">
        <v>1380</v>
      </c>
      <c r="AL7" s="173" t="s">
        <v>297</v>
      </c>
      <c r="AM7" s="121" t="s">
        <v>59</v>
      </c>
      <c r="AN7" s="121" t="s">
        <v>1381</v>
      </c>
      <c r="AP7" s="588" t="s">
        <v>1367</v>
      </c>
      <c r="AQ7" s="121" t="s">
        <v>1372</v>
      </c>
      <c r="AT7" s="628"/>
    </row>
    <row r="8" spans="1:75" x14ac:dyDescent="0.3">
      <c r="B8" s="584"/>
      <c r="C8" s="7"/>
      <c r="E8" s="875">
        <f>AN47</f>
        <v>4807052569.1124897</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586" t="s">
        <v>1371</v>
      </c>
      <c r="AG8" s="470"/>
      <c r="AH8" s="471"/>
      <c r="AI8" s="470"/>
      <c r="AJ8" s="587" t="s">
        <v>1371</v>
      </c>
      <c r="AK8" s="303"/>
      <c r="AL8" s="179"/>
      <c r="AM8" s="303"/>
      <c r="AN8" s="126"/>
      <c r="AP8" s="589" t="s">
        <v>1371</v>
      </c>
      <c r="AQ8" s="303"/>
      <c r="AT8" s="628"/>
    </row>
    <row r="9" spans="1:75" ht="16.2" thickBot="1" x14ac:dyDescent="0.35">
      <c r="B9" s="585" t="s">
        <v>943</v>
      </c>
      <c r="C9" s="1078">
        <v>8</v>
      </c>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122"/>
      <c r="AK9" s="459" t="s">
        <v>282</v>
      </c>
      <c r="AL9" s="122"/>
      <c r="AM9" s="8"/>
      <c r="AN9" s="126"/>
      <c r="AP9" s="122"/>
      <c r="AQ9" s="459" t="s">
        <v>282</v>
      </c>
      <c r="AT9" s="628"/>
    </row>
    <row r="10" spans="1:75" ht="16.2" thickBot="1" x14ac:dyDescent="0.35">
      <c r="B10" s="585" t="s">
        <v>944</v>
      </c>
      <c r="C10" s="1211">
        <v>0.05</v>
      </c>
      <c r="D10" s="630" t="s">
        <v>953</v>
      </c>
      <c r="E10" s="994">
        <f>AO53</f>
        <v>256</v>
      </c>
      <c r="F10" s="1085">
        <v>0.25</v>
      </c>
      <c r="G10" s="130">
        <f>E14*F10</f>
        <v>66790028.385387532</v>
      </c>
      <c r="H10" s="460">
        <v>0.5</v>
      </c>
      <c r="I10" s="130">
        <f>G10*H10</f>
        <v>33395014.192693766</v>
      </c>
      <c r="J10" s="460">
        <v>1</v>
      </c>
      <c r="K10" s="458">
        <f>I10*J10</f>
        <v>33395014.192693766</v>
      </c>
      <c r="L10" s="129">
        <f>H10</f>
        <v>0.5</v>
      </c>
      <c r="M10" s="458">
        <f>K10*L10</f>
        <v>16697507.096346883</v>
      </c>
      <c r="N10" s="129">
        <f>J10</f>
        <v>1</v>
      </c>
      <c r="O10" s="458">
        <f>M10*N10</f>
        <v>16697507.096346883</v>
      </c>
      <c r="P10" s="129">
        <f>L10</f>
        <v>0.5</v>
      </c>
      <c r="Q10" s="458">
        <f>O10*P10</f>
        <v>8348753.5481734416</v>
      </c>
      <c r="R10" s="129">
        <f>N10</f>
        <v>1</v>
      </c>
      <c r="S10" s="458">
        <f>Q10*R10</f>
        <v>8348753.5481734416</v>
      </c>
      <c r="T10" s="129">
        <f>P10</f>
        <v>0.5</v>
      </c>
      <c r="U10" s="458">
        <f>S10*T10</f>
        <v>4174376.7740867208</v>
      </c>
      <c r="V10" s="129">
        <f>R10</f>
        <v>1</v>
      </c>
      <c r="W10" s="458">
        <f>U10*V10</f>
        <v>4174376.7740867208</v>
      </c>
      <c r="X10" s="129">
        <f>T10</f>
        <v>0.5</v>
      </c>
      <c r="Y10" s="458">
        <f>W10*X10</f>
        <v>2087188.3870433604</v>
      </c>
      <c r="Z10" s="129">
        <f>V10</f>
        <v>1</v>
      </c>
      <c r="AA10" s="458">
        <f>Y10*Z10</f>
        <v>2087188.3870433604</v>
      </c>
      <c r="AB10" s="129">
        <f>X10</f>
        <v>0.5</v>
      </c>
      <c r="AC10" s="458">
        <f>AA10*AB10</f>
        <v>1043594.1935216802</v>
      </c>
      <c r="AD10" s="129">
        <f>Z10</f>
        <v>1</v>
      </c>
      <c r="AE10" s="458">
        <f>AC10*AD10</f>
        <v>1043594.1935216802</v>
      </c>
      <c r="AF10" s="129">
        <f>AB10</f>
        <v>0.5</v>
      </c>
      <c r="AG10" s="458">
        <f>AE10*AF10</f>
        <v>521797.0967608401</v>
      </c>
      <c r="AH10" s="129">
        <f>AD10</f>
        <v>1</v>
      </c>
      <c r="AI10" s="458">
        <f>AG10*AH10</f>
        <v>521797.0967608401</v>
      </c>
      <c r="AJ10" s="129">
        <f>AF10</f>
        <v>0.5</v>
      </c>
      <c r="AK10" s="458">
        <f>AI10*AJ10</f>
        <v>260898.54838042005</v>
      </c>
      <c r="AL10" s="129">
        <f>AH10</f>
        <v>1</v>
      </c>
      <c r="AM10" s="458">
        <f>AK10*AL10</f>
        <v>260898.54838042005</v>
      </c>
      <c r="AN10" s="161">
        <f>G10+I10+M10+Q10+U10+Y10+AC10+AG10+AK10</f>
        <v>133319158.22239463</v>
      </c>
      <c r="AP10" s="590">
        <f>AJ10</f>
        <v>0.5</v>
      </c>
      <c r="AQ10" s="458">
        <f>AM10*AP10</f>
        <v>130449.27419021002</v>
      </c>
      <c r="AR10" s="623"/>
      <c r="AS10" s="624"/>
      <c r="AT10" s="628"/>
    </row>
    <row r="11" spans="1:75" ht="16.2" thickBot="1" x14ac:dyDescent="0.35">
      <c r="B11" s="585" t="s">
        <v>945</v>
      </c>
      <c r="C11" s="1078">
        <v>2025</v>
      </c>
      <c r="D11" s="630" t="s">
        <v>1291</v>
      </c>
      <c r="E11" s="631">
        <f>E8/2</f>
        <v>2403526284.5562449</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122"/>
      <c r="AK11" s="457" t="s">
        <v>283</v>
      </c>
      <c r="AL11" s="122"/>
      <c r="AM11" s="8"/>
      <c r="AN11" s="126"/>
      <c r="AP11" s="122"/>
      <c r="AQ11" s="457" t="s">
        <v>283</v>
      </c>
      <c r="AR11" s="623"/>
      <c r="AS11" s="623"/>
      <c r="AT11" s="628"/>
    </row>
    <row r="12" spans="1:75" ht="16.2" thickBot="1" x14ac:dyDescent="0.35">
      <c r="B12" s="584"/>
      <c r="E12" s="997">
        <f>E9*E10</f>
        <v>0</v>
      </c>
      <c r="F12" s="1086">
        <v>0.25</v>
      </c>
      <c r="G12" s="135">
        <f>E14*F12</f>
        <v>66790028.385387532</v>
      </c>
      <c r="H12" s="461">
        <v>0.9</v>
      </c>
      <c r="I12" s="135">
        <f>G12*H12</f>
        <v>60111025.546848781</v>
      </c>
      <c r="J12" s="461">
        <v>1</v>
      </c>
      <c r="K12" s="440">
        <f>I12*J12</f>
        <v>60111025.546848781</v>
      </c>
      <c r="L12" s="133">
        <f>H12</f>
        <v>0.9</v>
      </c>
      <c r="M12" s="440">
        <f>K12*L12</f>
        <v>54099922.992163904</v>
      </c>
      <c r="N12" s="133">
        <f>J12</f>
        <v>1</v>
      </c>
      <c r="O12" s="440">
        <f>M12*N12</f>
        <v>54099922.992163904</v>
      </c>
      <c r="P12" s="133">
        <f>L12</f>
        <v>0.9</v>
      </c>
      <c r="Q12" s="440">
        <f>O12*P12</f>
        <v>48689930.692947514</v>
      </c>
      <c r="R12" s="133">
        <f>N12</f>
        <v>1</v>
      </c>
      <c r="S12" s="440">
        <f>Q12*R12</f>
        <v>48689930.692947514</v>
      </c>
      <c r="T12" s="133">
        <f>P12</f>
        <v>0.9</v>
      </c>
      <c r="U12" s="440">
        <f>S12*T12</f>
        <v>43820937.623652764</v>
      </c>
      <c r="V12" s="133">
        <f>R12</f>
        <v>1</v>
      </c>
      <c r="W12" s="440">
        <f>U12*V12</f>
        <v>43820937.623652764</v>
      </c>
      <c r="X12" s="133">
        <f>T12</f>
        <v>0.9</v>
      </c>
      <c r="Y12" s="440">
        <f>W12*X12</f>
        <v>39438843.86128749</v>
      </c>
      <c r="Z12" s="133">
        <f>V12</f>
        <v>1</v>
      </c>
      <c r="AA12" s="440">
        <f>Y12*Z12</f>
        <v>39438843.86128749</v>
      </c>
      <c r="AB12" s="133">
        <f>X12</f>
        <v>0.9</v>
      </c>
      <c r="AC12" s="440">
        <f>AA12*AB12</f>
        <v>35494959.475158744</v>
      </c>
      <c r="AD12" s="133">
        <f>Z12</f>
        <v>1</v>
      </c>
      <c r="AE12" s="440">
        <f>AC12*AD12</f>
        <v>35494959.475158744</v>
      </c>
      <c r="AF12" s="133">
        <f>AB12</f>
        <v>0.9</v>
      </c>
      <c r="AG12" s="440">
        <f>AE12*AF12</f>
        <v>31945463.527642868</v>
      </c>
      <c r="AH12" s="133">
        <f>AD12</f>
        <v>1</v>
      </c>
      <c r="AI12" s="440">
        <f>AG12*AH12</f>
        <v>31945463.527642868</v>
      </c>
      <c r="AJ12" s="133">
        <f>AF12</f>
        <v>0.9</v>
      </c>
      <c r="AK12" s="440">
        <f>AI12*AJ12</f>
        <v>28750917.174878582</v>
      </c>
      <c r="AL12" s="133">
        <f>AH12</f>
        <v>1</v>
      </c>
      <c r="AM12" s="440">
        <f>AK12*AL12</f>
        <v>28750917.174878582</v>
      </c>
      <c r="AN12" s="161">
        <f>G12+I12+M12+Q12+U12+Y12+AC12+AG12+AK12</f>
        <v>409142029.27996814</v>
      </c>
      <c r="AP12" s="591">
        <f>AJ12</f>
        <v>0.9</v>
      </c>
      <c r="AQ12" s="440">
        <f>AM12*AP12</f>
        <v>25875825.457390726</v>
      </c>
      <c r="AR12" s="623"/>
      <c r="AS12" s="624"/>
      <c r="AT12" s="628"/>
    </row>
    <row r="13" spans="1:75"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122"/>
      <c r="AK13" s="451" t="s">
        <v>284</v>
      </c>
      <c r="AL13" s="122"/>
      <c r="AM13" s="8"/>
      <c r="AN13" s="126"/>
      <c r="AP13" s="122"/>
      <c r="AQ13" s="451" t="s">
        <v>284</v>
      </c>
      <c r="AR13" s="623"/>
      <c r="AS13" s="623"/>
      <c r="AT13" s="628"/>
    </row>
    <row r="14" spans="1:75" ht="16.2" thickBot="1" x14ac:dyDescent="0.35">
      <c r="A14" s="162"/>
      <c r="B14" s="162"/>
      <c r="C14" s="137" t="s">
        <v>291</v>
      </c>
      <c r="D14" s="1212">
        <v>0.111153397929607</v>
      </c>
      <c r="E14" s="139">
        <f>E11*D14</f>
        <v>267160113.54155013</v>
      </c>
      <c r="F14" s="1088">
        <v>0.5</v>
      </c>
      <c r="G14" s="139">
        <f>E14*F14</f>
        <v>133580056.77077506</v>
      </c>
      <c r="H14" s="463">
        <v>0.9</v>
      </c>
      <c r="I14" s="139">
        <f>G14*H14</f>
        <v>120222051.09369756</v>
      </c>
      <c r="J14" s="463">
        <v>1</v>
      </c>
      <c r="K14" s="441">
        <f>I14*J14</f>
        <v>120222051.09369756</v>
      </c>
      <c r="L14" s="140">
        <f>H14</f>
        <v>0.9</v>
      </c>
      <c r="M14" s="441">
        <f>K14*L14</f>
        <v>108199845.98432781</v>
      </c>
      <c r="N14" s="140">
        <f>J14</f>
        <v>1</v>
      </c>
      <c r="O14" s="441">
        <f>M14*N14</f>
        <v>108199845.98432781</v>
      </c>
      <c r="P14" s="140">
        <f>L14</f>
        <v>0.9</v>
      </c>
      <c r="Q14" s="441">
        <f>O14*P14</f>
        <v>97379861.385895029</v>
      </c>
      <c r="R14" s="140">
        <f>N14</f>
        <v>1</v>
      </c>
      <c r="S14" s="441">
        <f>Q14*R14</f>
        <v>97379861.385895029</v>
      </c>
      <c r="T14" s="140">
        <f>P14</f>
        <v>0.9</v>
      </c>
      <c r="U14" s="441">
        <f>S14*T14</f>
        <v>87641875.247305527</v>
      </c>
      <c r="V14" s="140">
        <f>R14</f>
        <v>1</v>
      </c>
      <c r="W14" s="441">
        <f>U14*V14</f>
        <v>87641875.247305527</v>
      </c>
      <c r="X14" s="140">
        <f>T14</f>
        <v>0.9</v>
      </c>
      <c r="Y14" s="441">
        <f>W14*X14</f>
        <v>78877687.722574979</v>
      </c>
      <c r="Z14" s="140">
        <f>V14</f>
        <v>1</v>
      </c>
      <c r="AA14" s="441">
        <f>Y14*Z14</f>
        <v>78877687.722574979</v>
      </c>
      <c r="AB14" s="140">
        <f>X14</f>
        <v>0.9</v>
      </c>
      <c r="AC14" s="441">
        <f>AA14*AB14</f>
        <v>70989918.950317487</v>
      </c>
      <c r="AD14" s="140">
        <f>Z14</f>
        <v>1</v>
      </c>
      <c r="AE14" s="441">
        <f>AC14*AD14</f>
        <v>70989918.950317487</v>
      </c>
      <c r="AF14" s="140">
        <f>AB14</f>
        <v>0.9</v>
      </c>
      <c r="AG14" s="441">
        <f>AE14*AF14</f>
        <v>63890927.055285737</v>
      </c>
      <c r="AH14" s="140">
        <f>AD14</f>
        <v>1</v>
      </c>
      <c r="AI14" s="441">
        <f>AG14*AH14</f>
        <v>63890927.055285737</v>
      </c>
      <c r="AJ14" s="140">
        <f>AF14</f>
        <v>0.9</v>
      </c>
      <c r="AK14" s="441">
        <f>AI14*AJ14</f>
        <v>57501834.349757165</v>
      </c>
      <c r="AL14" s="140">
        <f>AH14</f>
        <v>1</v>
      </c>
      <c r="AM14" s="441">
        <f>AK14*AL14</f>
        <v>57501834.349757165</v>
      </c>
      <c r="AN14" s="161">
        <f>G14+I14+M14+Q14+U14+Y14+AC14+AG14+AK14</f>
        <v>818284058.55993629</v>
      </c>
      <c r="AP14" s="592">
        <f>AJ14</f>
        <v>0.9</v>
      </c>
      <c r="AQ14" s="441">
        <f>AM14*AP14</f>
        <v>51751650.914781451</v>
      </c>
      <c r="AR14" s="623"/>
      <c r="AS14" s="624"/>
      <c r="AT14" s="628"/>
    </row>
    <row r="15" spans="1:75"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23"/>
      <c r="AS15" s="623"/>
      <c r="AT15" s="628"/>
    </row>
    <row r="16" spans="1:75"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455"/>
      <c r="AK16" s="454" t="s">
        <v>744</v>
      </c>
      <c r="AL16" s="141"/>
      <c r="AM16" s="164"/>
      <c r="AN16" s="126"/>
      <c r="AP16" s="455"/>
      <c r="AQ16" s="454" t="s">
        <v>744</v>
      </c>
      <c r="AR16" s="625"/>
      <c r="AS16" s="625"/>
      <c r="AT16" s="628"/>
      <c r="BG16" s="233"/>
      <c r="BK16" s="233"/>
      <c r="BV16" s="345"/>
      <c r="BW16" s="233"/>
    </row>
    <row r="17" spans="1:77" ht="16.2" thickBot="1" x14ac:dyDescent="0.35">
      <c r="A17" s="18"/>
      <c r="B17" s="18"/>
      <c r="C17" s="397" t="s">
        <v>276</v>
      </c>
      <c r="D17" s="1213">
        <f>100%-D14-D21</f>
        <v>0.5625</v>
      </c>
      <c r="E17" s="399">
        <f>E11*D17</f>
        <v>1351983535.0628877</v>
      </c>
      <c r="F17" s="1090">
        <v>1</v>
      </c>
      <c r="G17" s="399">
        <f>E17*F17</f>
        <v>1351983535.0628877</v>
      </c>
      <c r="H17" s="464">
        <v>0.9</v>
      </c>
      <c r="I17" s="399">
        <f>G17*H17</f>
        <v>1216785181.5565989</v>
      </c>
      <c r="J17" s="464">
        <v>1</v>
      </c>
      <c r="K17" s="453">
        <f>I17*J17</f>
        <v>1216785181.5565989</v>
      </c>
      <c r="L17" s="400">
        <f>H17</f>
        <v>0.9</v>
      </c>
      <c r="M17" s="453">
        <f>K17*L17</f>
        <v>1095106663.400939</v>
      </c>
      <c r="N17" s="400">
        <f>J17</f>
        <v>1</v>
      </c>
      <c r="O17" s="453">
        <f>M17*N17</f>
        <v>1095106663.400939</v>
      </c>
      <c r="P17" s="400">
        <f>L17</f>
        <v>0.9</v>
      </c>
      <c r="Q17" s="453">
        <f>O17*P17</f>
        <v>985595997.06084514</v>
      </c>
      <c r="R17" s="400">
        <f>N17</f>
        <v>1</v>
      </c>
      <c r="S17" s="453">
        <f>Q17*R17</f>
        <v>985595997.06084514</v>
      </c>
      <c r="T17" s="400">
        <f>P17</f>
        <v>0.9</v>
      </c>
      <c r="U17" s="453">
        <f>S17*T17</f>
        <v>887036397.35476065</v>
      </c>
      <c r="V17" s="400">
        <f>R17</f>
        <v>1</v>
      </c>
      <c r="W17" s="453">
        <f>U17*V17</f>
        <v>887036397.35476065</v>
      </c>
      <c r="X17" s="400">
        <f>T17</f>
        <v>0.9</v>
      </c>
      <c r="Y17" s="453">
        <f>W17*X17</f>
        <v>798332757.61928463</v>
      </c>
      <c r="Z17" s="400">
        <f>V17</f>
        <v>1</v>
      </c>
      <c r="AA17" s="453">
        <f>Y17*Z17</f>
        <v>798332757.61928463</v>
      </c>
      <c r="AB17" s="400">
        <f>X17</f>
        <v>0.9</v>
      </c>
      <c r="AC17" s="453">
        <f>AA17*AB17</f>
        <v>718499481.85735619</v>
      </c>
      <c r="AD17" s="400">
        <f>Z17</f>
        <v>1</v>
      </c>
      <c r="AE17" s="453">
        <f>AC17*AD17</f>
        <v>718499481.85735619</v>
      </c>
      <c r="AF17" s="400">
        <f>AB17</f>
        <v>0.9</v>
      </c>
      <c r="AG17" s="453">
        <f>AE17*AF17</f>
        <v>646649533.67162061</v>
      </c>
      <c r="AH17" s="400">
        <f>AD17</f>
        <v>1</v>
      </c>
      <c r="AI17" s="453">
        <f>AG17*AH17</f>
        <v>646649533.67162061</v>
      </c>
      <c r="AJ17" s="400">
        <f>AF17</f>
        <v>0.9</v>
      </c>
      <c r="AK17" s="453">
        <f>AI17*AJ17</f>
        <v>581984580.30445862</v>
      </c>
      <c r="AL17" s="400">
        <f>AH17</f>
        <v>1</v>
      </c>
      <c r="AM17" s="453">
        <f>AK17*AL17</f>
        <v>581984580.30445862</v>
      </c>
      <c r="AN17" s="161">
        <f>G17+I17+M17+Q17+U17+Y17+AC17+AG17+AK17</f>
        <v>8281974127.888751</v>
      </c>
      <c r="AP17" s="593">
        <f>AJ17</f>
        <v>0.9</v>
      </c>
      <c r="AQ17" s="453">
        <f>AM17*AP17</f>
        <v>523786122.27401274</v>
      </c>
      <c r="AR17" s="623"/>
      <c r="AS17" s="624"/>
      <c r="AT17" s="628"/>
      <c r="BJ17" s="974" t="s">
        <v>872</v>
      </c>
      <c r="BL17" s="974" t="s">
        <v>872</v>
      </c>
      <c r="BO17" s="974" t="s">
        <v>872</v>
      </c>
    </row>
    <row r="18" spans="1:77"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23"/>
      <c r="AS18" s="623"/>
      <c r="AT18" s="628"/>
      <c r="BJ18" s="974" t="s">
        <v>5</v>
      </c>
      <c r="BL18" s="974" t="s">
        <v>7</v>
      </c>
      <c r="BO18" s="77" t="s">
        <v>968</v>
      </c>
    </row>
    <row r="19" spans="1:77"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23"/>
      <c r="AS19" s="623"/>
      <c r="AT19" s="628"/>
      <c r="AW19" s="473"/>
      <c r="AX19" s="473"/>
      <c r="AY19" s="473"/>
      <c r="AZ19" s="473"/>
      <c r="BA19" s="473"/>
      <c r="BB19" s="473"/>
      <c r="BC19" s="473"/>
      <c r="BD19" s="473"/>
      <c r="BE19" s="473"/>
      <c r="BF19" s="473"/>
      <c r="BG19" s="970"/>
      <c r="BH19" s="485"/>
      <c r="BI19" s="485"/>
      <c r="BJ19" s="485" t="s">
        <v>961</v>
      </c>
      <c r="BK19" s="485" t="s">
        <v>967</v>
      </c>
      <c r="BL19" s="485" t="s">
        <v>59</v>
      </c>
      <c r="BM19" s="485" t="s">
        <v>1343</v>
      </c>
      <c r="BN19" s="485" t="s">
        <v>1344</v>
      </c>
      <c r="BO19" s="485"/>
      <c r="BP19" s="473"/>
      <c r="BQ19" s="485" t="s">
        <v>966</v>
      </c>
      <c r="BR19" s="485" t="s">
        <v>974</v>
      </c>
      <c r="BS19" s="485" t="s">
        <v>965</v>
      </c>
      <c r="BT19" s="485" t="s">
        <v>965</v>
      </c>
      <c r="BU19" s="485" t="s">
        <v>1345</v>
      </c>
      <c r="BV19" s="305" t="s">
        <v>1286</v>
      </c>
      <c r="BW19" s="304"/>
    </row>
    <row r="20" spans="1:77"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122"/>
      <c r="AK20" s="450" t="s">
        <v>285</v>
      </c>
      <c r="AL20" s="122"/>
      <c r="AM20" s="8"/>
      <c r="AN20" s="126"/>
      <c r="AP20" s="122"/>
      <c r="AQ20" s="450" t="s">
        <v>285</v>
      </c>
      <c r="AR20" s="623"/>
      <c r="AS20" s="623"/>
      <c r="AT20" s="628"/>
      <c r="AW20" s="473"/>
      <c r="AX20" s="473"/>
      <c r="AY20" s="473"/>
      <c r="AZ20" s="473"/>
      <c r="BA20" s="473"/>
      <c r="BB20" s="473"/>
      <c r="BC20" s="473"/>
      <c r="BD20" s="473"/>
      <c r="BE20" s="473"/>
      <c r="BF20" s="473"/>
      <c r="BG20" s="970"/>
      <c r="BH20" s="485"/>
      <c r="BI20" s="485"/>
      <c r="BJ20" s="971">
        <f>'POP Dimensions'!C15</f>
        <v>10737418.24</v>
      </c>
      <c r="BK20" s="954">
        <v>64</v>
      </c>
      <c r="BL20" s="972">
        <f>BK20*BJ20</f>
        <v>687194767.36000001</v>
      </c>
      <c r="BM20" s="954">
        <v>16</v>
      </c>
      <c r="BN20" s="954"/>
      <c r="BO20" s="971">
        <f>BL20*BM20</f>
        <v>10995116277.76</v>
      </c>
      <c r="BP20" s="473"/>
      <c r="BQ20" s="485" t="s">
        <v>785</v>
      </c>
      <c r="BR20" s="485"/>
      <c r="BS20" s="485" t="s">
        <v>962</v>
      </c>
      <c r="BT20" s="485" t="s">
        <v>1341</v>
      </c>
      <c r="BU20" s="485" t="s">
        <v>1342</v>
      </c>
      <c r="BV20" s="305"/>
      <c r="BW20" s="304"/>
    </row>
    <row r="21" spans="1:77" ht="16.2" thickBot="1" x14ac:dyDescent="0.35">
      <c r="C21" s="149" t="s">
        <v>737</v>
      </c>
      <c r="D21" s="1214">
        <v>0.32634660207039301</v>
      </c>
      <c r="E21" s="151">
        <f>E11*D21</f>
        <v>784382635.95180702</v>
      </c>
      <c r="F21" s="1092">
        <v>0.3</v>
      </c>
      <c r="G21" s="151">
        <f>E21*F21</f>
        <v>235314790.7855421</v>
      </c>
      <c r="H21" s="465">
        <v>0.9</v>
      </c>
      <c r="I21" s="151">
        <f>G21*H21</f>
        <v>211783311.70698789</v>
      </c>
      <c r="J21" s="465">
        <v>1</v>
      </c>
      <c r="K21" s="444">
        <f>I21*J21</f>
        <v>211783311.70698789</v>
      </c>
      <c r="L21" s="152">
        <f>H21</f>
        <v>0.9</v>
      </c>
      <c r="M21" s="444">
        <f>K21*L21</f>
        <v>190604980.5362891</v>
      </c>
      <c r="N21" s="152">
        <f>J21</f>
        <v>1</v>
      </c>
      <c r="O21" s="444">
        <f>M21*N21</f>
        <v>190604980.5362891</v>
      </c>
      <c r="P21" s="152">
        <f>L21</f>
        <v>0.9</v>
      </c>
      <c r="Q21" s="444">
        <f>O21*P21</f>
        <v>171544482.4826602</v>
      </c>
      <c r="R21" s="152">
        <f>N21</f>
        <v>1</v>
      </c>
      <c r="S21" s="444">
        <f>Q21*R21</f>
        <v>171544482.4826602</v>
      </c>
      <c r="T21" s="152">
        <f>P21</f>
        <v>0.9</v>
      </c>
      <c r="U21" s="444">
        <f>S21*T21</f>
        <v>154390034.23439419</v>
      </c>
      <c r="V21" s="152">
        <f>R21</f>
        <v>1</v>
      </c>
      <c r="W21" s="444">
        <f>U21*V21</f>
        <v>154390034.23439419</v>
      </c>
      <c r="X21" s="152">
        <f>T21</f>
        <v>0.9</v>
      </c>
      <c r="Y21" s="444">
        <f>W21*X21</f>
        <v>138951030.81095478</v>
      </c>
      <c r="Z21" s="152">
        <f>V21</f>
        <v>1</v>
      </c>
      <c r="AA21" s="444">
        <f>Y21*Z21</f>
        <v>138951030.81095478</v>
      </c>
      <c r="AB21" s="152">
        <f>X21</f>
        <v>0.9</v>
      </c>
      <c r="AC21" s="444">
        <f>AA21*AB21</f>
        <v>125055927.72985931</v>
      </c>
      <c r="AD21" s="152">
        <f>Z21</f>
        <v>1</v>
      </c>
      <c r="AE21" s="444">
        <f>AC21*AD21</f>
        <v>125055927.72985931</v>
      </c>
      <c r="AF21" s="152">
        <f>AB21</f>
        <v>0.9</v>
      </c>
      <c r="AG21" s="444">
        <f>AE21*AF21</f>
        <v>112550334.95687337</v>
      </c>
      <c r="AH21" s="152">
        <f>AD21</f>
        <v>1</v>
      </c>
      <c r="AI21" s="444">
        <f>AG21*AH21</f>
        <v>112550334.95687337</v>
      </c>
      <c r="AJ21" s="152">
        <f>AF21</f>
        <v>0.9</v>
      </c>
      <c r="AK21" s="444">
        <f>AI21*AJ21</f>
        <v>101295301.46118604</v>
      </c>
      <c r="AL21" s="152">
        <f>AH21</f>
        <v>1</v>
      </c>
      <c r="AM21" s="444">
        <f>AK21*AL21</f>
        <v>101295301.46118604</v>
      </c>
      <c r="AN21" s="161">
        <f>G21+I21+M21+Q21+U21+Y21+AC21+AG21+AK21</f>
        <v>1441490194.704747</v>
      </c>
      <c r="AP21" s="594">
        <f>AJ21</f>
        <v>0.9</v>
      </c>
      <c r="AQ21" s="444">
        <f>AM21*AP21</f>
        <v>91165771.31506744</v>
      </c>
      <c r="AR21" s="623"/>
      <c r="AS21" s="624"/>
      <c r="AT21" s="628"/>
      <c r="AW21" s="473"/>
      <c r="BM21" s="976"/>
      <c r="BN21" s="976"/>
      <c r="BW21" s="913"/>
    </row>
    <row r="22" spans="1:77"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437"/>
      <c r="AK22" s="449" t="s">
        <v>738</v>
      </c>
      <c r="AL22" s="433"/>
      <c r="AM22" s="434"/>
      <c r="AN22" s="180"/>
      <c r="AP22" s="437"/>
      <c r="AQ22" s="449" t="s">
        <v>738</v>
      </c>
      <c r="AR22" s="623"/>
      <c r="AS22" s="623"/>
      <c r="AT22" s="628"/>
      <c r="AW22" s="473"/>
      <c r="BD22" s="1" t="s">
        <v>955</v>
      </c>
      <c r="BH22" s="581" t="s">
        <v>964</v>
      </c>
      <c r="BI22" s="75"/>
      <c r="BJ22" s="75"/>
      <c r="BK22" s="986"/>
      <c r="BL22" s="896"/>
      <c r="BM22" s="980"/>
      <c r="BN22" s="980"/>
      <c r="BO22" s="75"/>
      <c r="BQ22" s="75"/>
      <c r="BR22" s="76"/>
      <c r="BS22" s="75"/>
      <c r="BT22" s="76">
        <f>BT31</f>
        <v>1372242051.072</v>
      </c>
      <c r="BU22" s="75"/>
      <c r="BV22" s="910"/>
      <c r="BW22" s="304"/>
    </row>
    <row r="23" spans="1:77" ht="16.2" thickBot="1" x14ac:dyDescent="0.35">
      <c r="C23" s="141"/>
      <c r="D23" s="94">
        <f>SUM(D14:D21)</f>
        <v>1</v>
      </c>
      <c r="E23" s="371"/>
      <c r="F23" s="1093">
        <v>0.25</v>
      </c>
      <c r="G23" s="432">
        <f>E21*F23</f>
        <v>196095658.98795176</v>
      </c>
      <c r="H23" s="466">
        <v>0.9</v>
      </c>
      <c r="I23" s="432">
        <f>G23*H23</f>
        <v>176486093.0891566</v>
      </c>
      <c r="J23" s="466">
        <v>1</v>
      </c>
      <c r="K23" s="449">
        <f>I23*J23</f>
        <v>176486093.0891566</v>
      </c>
      <c r="L23" s="430">
        <f>H23</f>
        <v>0.9</v>
      </c>
      <c r="M23" s="449">
        <f>K23*L23</f>
        <v>158837483.78024095</v>
      </c>
      <c r="N23" s="430">
        <f>J23</f>
        <v>1</v>
      </c>
      <c r="O23" s="449">
        <f>M23*N23</f>
        <v>158837483.78024095</v>
      </c>
      <c r="P23" s="430">
        <f>L23</f>
        <v>0.9</v>
      </c>
      <c r="Q23" s="449">
        <f>O23*P23</f>
        <v>142953735.40221685</v>
      </c>
      <c r="R23" s="430">
        <f>N23</f>
        <v>1</v>
      </c>
      <c r="S23" s="449">
        <f>Q23*R23</f>
        <v>142953735.40221685</v>
      </c>
      <c r="T23" s="430">
        <f>P23</f>
        <v>0.9</v>
      </c>
      <c r="U23" s="449">
        <f>S23*T23</f>
        <v>128658361.86199518</v>
      </c>
      <c r="V23" s="430">
        <f>R23</f>
        <v>1</v>
      </c>
      <c r="W23" s="449">
        <f>U23*V23</f>
        <v>128658361.86199518</v>
      </c>
      <c r="X23" s="430">
        <f>T23</f>
        <v>0.9</v>
      </c>
      <c r="Y23" s="449">
        <f>W23*X23</f>
        <v>115792525.67579566</v>
      </c>
      <c r="Z23" s="430">
        <f>V23</f>
        <v>1</v>
      </c>
      <c r="AA23" s="449">
        <f>Y23*Z23</f>
        <v>115792525.67579566</v>
      </c>
      <c r="AB23" s="430">
        <f>X23</f>
        <v>0.9</v>
      </c>
      <c r="AC23" s="449">
        <f>AA23*AB23</f>
        <v>104213273.10821609</v>
      </c>
      <c r="AD23" s="430">
        <f>Z23</f>
        <v>1</v>
      </c>
      <c r="AE23" s="449">
        <f>AC23*AD23</f>
        <v>104213273.10821609</v>
      </c>
      <c r="AF23" s="430">
        <f>AB23</f>
        <v>0.9</v>
      </c>
      <c r="AG23" s="449">
        <f>AE23*AF23</f>
        <v>93791945.797394484</v>
      </c>
      <c r="AH23" s="430">
        <f>AD23</f>
        <v>1</v>
      </c>
      <c r="AI23" s="449">
        <f>AG23*AH23</f>
        <v>93791945.797394484</v>
      </c>
      <c r="AJ23" s="430">
        <f>AF23</f>
        <v>0.9</v>
      </c>
      <c r="AK23" s="449">
        <f>AI23*AJ23</f>
        <v>84412751.217655033</v>
      </c>
      <c r="AL23" s="430">
        <f>AH23</f>
        <v>1</v>
      </c>
      <c r="AM23" s="449">
        <f>AK23*AL23</f>
        <v>84412751.217655033</v>
      </c>
      <c r="AN23" s="161">
        <f>G23+I23+M23+Q23+U23+Y23+AC23+AG23+AK23</f>
        <v>1201241828.9206226</v>
      </c>
      <c r="AP23" s="595">
        <f>AJ23</f>
        <v>0.9</v>
      </c>
      <c r="AQ23" s="449">
        <f>AM23*AP23</f>
        <v>75971476.095889539</v>
      </c>
      <c r="AR23" s="623"/>
      <c r="AS23" s="624"/>
      <c r="AT23" s="628"/>
      <c r="AW23" s="473"/>
      <c r="BB23" s="982" t="s">
        <v>989</v>
      </c>
      <c r="BC23" s="983">
        <v>2016</v>
      </c>
      <c r="BD23" s="910">
        <v>75543543000000</v>
      </c>
      <c r="BE23" s="984">
        <v>2.5000000000000001E-2</v>
      </c>
      <c r="BF23" s="910">
        <f>BD23*BE23</f>
        <v>1888588575000</v>
      </c>
      <c r="BH23" s="75"/>
      <c r="BI23" s="968">
        <v>2016</v>
      </c>
      <c r="BJ23" s="305">
        <f>BJ20</f>
        <v>10737418.24</v>
      </c>
      <c r="BK23" s="986">
        <v>64</v>
      </c>
      <c r="BL23" s="411">
        <f t="shared" ref="BL23:BL35" si="0">BK23*BJ23</f>
        <v>687194767.36000001</v>
      </c>
      <c r="BM23" s="980"/>
      <c r="BN23" s="980"/>
      <c r="BO23" s="305">
        <f t="shared" ref="BO23:BO35" si="1">BL23*BM23</f>
        <v>0</v>
      </c>
      <c r="BQ23" s="75"/>
      <c r="BR23" s="76"/>
      <c r="BS23" s="75"/>
      <c r="BT23" s="953">
        <v>25000</v>
      </c>
      <c r="BU23" s="968" t="s">
        <v>1349</v>
      </c>
      <c r="BV23" s="910"/>
      <c r="BW23" s="981">
        <v>2016</v>
      </c>
    </row>
    <row r="24" spans="1:77"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122"/>
      <c r="AK24" s="448" t="s">
        <v>294</v>
      </c>
      <c r="AL24" s="122"/>
      <c r="AM24" s="8"/>
      <c r="AN24" s="126"/>
      <c r="AP24" s="122"/>
      <c r="AQ24" s="448" t="s">
        <v>294</v>
      </c>
      <c r="AR24" s="623"/>
      <c r="AS24" s="623"/>
      <c r="AT24" s="628"/>
      <c r="AW24" s="473"/>
      <c r="BB24" s="982" t="s">
        <v>989</v>
      </c>
      <c r="BC24" s="983">
        <f>BC23+1</f>
        <v>2017</v>
      </c>
      <c r="BD24" s="910">
        <f>BD23+BF23</f>
        <v>77432131575000</v>
      </c>
      <c r="BE24" s="985">
        <f>BE23</f>
        <v>2.5000000000000001E-2</v>
      </c>
      <c r="BF24" s="910">
        <f>BD24*BE24</f>
        <v>1935803289375</v>
      </c>
      <c r="BH24" s="75"/>
      <c r="BI24" s="968">
        <f>BI23+1</f>
        <v>2017</v>
      </c>
      <c r="BJ24" s="305">
        <f>BJ20</f>
        <v>10737418.24</v>
      </c>
      <c r="BK24" s="986">
        <v>64</v>
      </c>
      <c r="BL24" s="411">
        <f t="shared" si="0"/>
        <v>687194767.36000001</v>
      </c>
      <c r="BM24" s="980"/>
      <c r="BN24" s="980"/>
      <c r="BO24" s="305">
        <f t="shared" si="1"/>
        <v>0</v>
      </c>
      <c r="BQ24" s="75"/>
      <c r="BR24" s="76"/>
      <c r="BS24" s="75"/>
      <c r="BT24" s="76">
        <f>BT22/BT23</f>
        <v>54889.682042879998</v>
      </c>
      <c r="BU24" s="75"/>
      <c r="BV24" s="910"/>
      <c r="BW24" s="981">
        <f>BW23+1</f>
        <v>2017</v>
      </c>
    </row>
    <row r="25" spans="1:77" ht="16.2" thickBot="1" x14ac:dyDescent="0.35">
      <c r="C25" s="122"/>
      <c r="D25" s="573" t="s">
        <v>1367</v>
      </c>
      <c r="E25" s="7"/>
      <c r="F25" s="1094">
        <v>0.2</v>
      </c>
      <c r="G25" s="99">
        <f>E21*F25</f>
        <v>156876527.19036141</v>
      </c>
      <c r="H25" s="467">
        <v>0.9</v>
      </c>
      <c r="I25" s="99">
        <f>G25*H25</f>
        <v>141188874.47132528</v>
      </c>
      <c r="J25" s="467">
        <v>1</v>
      </c>
      <c r="K25" s="443">
        <f>I25*J25</f>
        <v>141188874.47132528</v>
      </c>
      <c r="L25" s="153">
        <f>H25</f>
        <v>0.9</v>
      </c>
      <c r="M25" s="443">
        <f>K25*L25</f>
        <v>127069987.02419275</v>
      </c>
      <c r="N25" s="153">
        <f>J25</f>
        <v>1</v>
      </c>
      <c r="O25" s="443">
        <f>M25*N25</f>
        <v>127069987.02419275</v>
      </c>
      <c r="P25" s="153">
        <f>L25</f>
        <v>0.9</v>
      </c>
      <c r="Q25" s="443">
        <f>O25*P25</f>
        <v>114362988.32177348</v>
      </c>
      <c r="R25" s="153">
        <f>N25</f>
        <v>1</v>
      </c>
      <c r="S25" s="443">
        <f>Q25*R25</f>
        <v>114362988.32177348</v>
      </c>
      <c r="T25" s="153">
        <f>P25</f>
        <v>0.9</v>
      </c>
      <c r="U25" s="443">
        <f>S25*T25</f>
        <v>102926689.48959614</v>
      </c>
      <c r="V25" s="153">
        <f>R25</f>
        <v>1</v>
      </c>
      <c r="W25" s="443">
        <f>U25*V25</f>
        <v>102926689.48959614</v>
      </c>
      <c r="X25" s="153">
        <f>T25</f>
        <v>0.9</v>
      </c>
      <c r="Y25" s="443">
        <f>W25*X25</f>
        <v>92634020.540636525</v>
      </c>
      <c r="Z25" s="153">
        <f>V25</f>
        <v>1</v>
      </c>
      <c r="AA25" s="443">
        <f>Y25*Z25</f>
        <v>92634020.540636525</v>
      </c>
      <c r="AB25" s="153">
        <f>X25</f>
        <v>0.9</v>
      </c>
      <c r="AC25" s="443">
        <f>AA25*AB25</f>
        <v>83370618.486572877</v>
      </c>
      <c r="AD25" s="153">
        <f>Z25</f>
        <v>1</v>
      </c>
      <c r="AE25" s="443">
        <f>AC25*AD25</f>
        <v>83370618.486572877</v>
      </c>
      <c r="AF25" s="153">
        <f>AB25</f>
        <v>0.9</v>
      </c>
      <c r="AG25" s="443">
        <f>AE25*AF25</f>
        <v>75033556.637915596</v>
      </c>
      <c r="AH25" s="153">
        <f>AD25</f>
        <v>1</v>
      </c>
      <c r="AI25" s="443">
        <f>AG25*AH25</f>
        <v>75033556.637915596</v>
      </c>
      <c r="AJ25" s="153">
        <f>AF25</f>
        <v>0.9</v>
      </c>
      <c r="AK25" s="443">
        <f>AI25*AJ25</f>
        <v>67530200.974124044</v>
      </c>
      <c r="AL25" s="153">
        <f>AH25</f>
        <v>1</v>
      </c>
      <c r="AM25" s="443">
        <f>AK25*AL25</f>
        <v>67530200.974124044</v>
      </c>
      <c r="AN25" s="161">
        <f>G25+I25+M25+Q25+U25+Y25+AC25+AG25+AK25</f>
        <v>960993463.13649809</v>
      </c>
      <c r="AP25" s="596">
        <f>AJ25</f>
        <v>0.9</v>
      </c>
      <c r="AQ25" s="443">
        <f>AM25*AP25</f>
        <v>60777180.876711644</v>
      </c>
      <c r="AR25" s="623"/>
      <c r="AS25" s="624"/>
      <c r="AT25" s="628"/>
      <c r="AW25" s="473"/>
      <c r="BB25" s="982" t="s">
        <v>989</v>
      </c>
      <c r="BC25" s="983">
        <f t="shared" ref="BC25:BC35" si="2">BC24+1</f>
        <v>2018</v>
      </c>
      <c r="BD25" s="910">
        <f t="shared" ref="BD25:BD35" si="3">BD24+BF24</f>
        <v>79367934864375</v>
      </c>
      <c r="BE25" s="985">
        <f t="shared" ref="BE25:BE35" si="4">BE24</f>
        <v>2.5000000000000001E-2</v>
      </c>
      <c r="BF25" s="910">
        <f t="shared" ref="BF25:BF35" si="5">BD25*BE25</f>
        <v>1984198371609.375</v>
      </c>
      <c r="BH25" s="75"/>
      <c r="BI25" s="968">
        <f t="shared" ref="BI25:BI35" si="6">BI24+1</f>
        <v>2018</v>
      </c>
      <c r="BJ25" s="305">
        <f>BJ20</f>
        <v>10737418.24</v>
      </c>
      <c r="BK25" s="986">
        <v>64</v>
      </c>
      <c r="BL25" s="411">
        <f t="shared" si="0"/>
        <v>687194767.36000001</v>
      </c>
      <c r="BM25" s="980">
        <v>2.5000000000000001E-2</v>
      </c>
      <c r="BN25" s="980"/>
      <c r="BO25" s="305">
        <f t="shared" si="1"/>
        <v>17179869.184</v>
      </c>
      <c r="BP25" s="978" t="s">
        <v>1144</v>
      </c>
      <c r="BQ25" s="305">
        <f t="shared" ref="BQ25:BQ55" si="7">BO25</f>
        <v>17179869.184</v>
      </c>
      <c r="BR25" s="691">
        <f t="shared" ref="BR25:BR35" si="8">BQ25+BR24-BV25</f>
        <v>17179869.184</v>
      </c>
      <c r="BS25" s="893">
        <v>0.125</v>
      </c>
      <c r="BT25" s="973">
        <f>BR25*BS25</f>
        <v>2147483.648</v>
      </c>
      <c r="BU25" s="305">
        <f>AN58</f>
        <v>1364031369.8268316</v>
      </c>
      <c r="BV25" s="910">
        <f t="shared" ref="BV25:BV35" si="9">BL25*BN25</f>
        <v>0</v>
      </c>
      <c r="BW25" s="981">
        <f t="shared" ref="BW25:BW55" si="10">BW24+1</f>
        <v>2018</v>
      </c>
    </row>
    <row r="26" spans="1:77"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126"/>
      <c r="AP26" s="122"/>
      <c r="AQ26" s="452" t="s">
        <v>733</v>
      </c>
      <c r="AR26" s="623"/>
      <c r="AS26" s="623"/>
      <c r="AT26" s="628"/>
      <c r="AW26" s="473"/>
      <c r="BB26" s="982" t="s">
        <v>989</v>
      </c>
      <c r="BC26" s="983">
        <f t="shared" si="2"/>
        <v>2019</v>
      </c>
      <c r="BD26" s="910">
        <f t="shared" si="3"/>
        <v>81352133235984.375</v>
      </c>
      <c r="BE26" s="985">
        <f t="shared" si="4"/>
        <v>2.5000000000000001E-2</v>
      </c>
      <c r="BF26" s="910">
        <f t="shared" si="5"/>
        <v>2033803330899.6094</v>
      </c>
      <c r="BH26" s="75"/>
      <c r="BI26" s="968">
        <f t="shared" si="6"/>
        <v>2019</v>
      </c>
      <c r="BJ26" s="305">
        <f>BJ20</f>
        <v>10737418.24</v>
      </c>
      <c r="BK26" s="986">
        <v>64</v>
      </c>
      <c r="BL26" s="411">
        <f t="shared" si="0"/>
        <v>687194767.36000001</v>
      </c>
      <c r="BM26" s="980">
        <v>0.2</v>
      </c>
      <c r="BN26" s="980"/>
      <c r="BO26" s="305">
        <f t="shared" si="1"/>
        <v>137438953.472</v>
      </c>
      <c r="BP26" s="978" t="s">
        <v>1144</v>
      </c>
      <c r="BQ26" s="305">
        <f t="shared" si="7"/>
        <v>137438953.472</v>
      </c>
      <c r="BR26" s="691">
        <f t="shared" si="8"/>
        <v>154618822.65600002</v>
      </c>
      <c r="BS26" s="893">
        <f>BS25</f>
        <v>0.125</v>
      </c>
      <c r="BT26" s="973">
        <f t="shared" ref="BT26:BT55" si="11">BR26*BS26</f>
        <v>19327352.832000002</v>
      </c>
      <c r="BU26" s="305">
        <f>BU25</f>
        <v>1364031369.8268316</v>
      </c>
      <c r="BV26" s="910">
        <f t="shared" si="9"/>
        <v>0</v>
      </c>
      <c r="BW26" s="981">
        <f t="shared" si="10"/>
        <v>2019</v>
      </c>
    </row>
    <row r="27" spans="1:77" ht="19.2" thickBot="1" x14ac:dyDescent="0.5">
      <c r="C27" s="122"/>
      <c r="D27" s="574" t="s">
        <v>1369</v>
      </c>
      <c r="E27" s="7"/>
      <c r="F27" s="1096">
        <v>0.25</v>
      </c>
      <c r="G27" s="446">
        <f>E21*F27</f>
        <v>196095658.98795176</v>
      </c>
      <c r="H27" s="447">
        <v>0.25</v>
      </c>
      <c r="I27" s="446">
        <f>G27*H27</f>
        <v>49023914.746987939</v>
      </c>
      <c r="J27" s="447">
        <v>1</v>
      </c>
      <c r="K27" s="439">
        <f>I27*J27</f>
        <v>49023914.746987939</v>
      </c>
      <c r="L27" s="438">
        <f>H27</f>
        <v>0.25</v>
      </c>
      <c r="M27" s="439">
        <f>K27*L27</f>
        <v>12255978.686746985</v>
      </c>
      <c r="N27" s="438">
        <f>J27</f>
        <v>1</v>
      </c>
      <c r="O27" s="439">
        <f>M27*N27</f>
        <v>12255978.686746985</v>
      </c>
      <c r="P27" s="438">
        <f>L27</f>
        <v>0.25</v>
      </c>
      <c r="Q27" s="439">
        <f>O27*P27</f>
        <v>3063994.6716867462</v>
      </c>
      <c r="R27" s="438">
        <f>N27</f>
        <v>1</v>
      </c>
      <c r="S27" s="439">
        <f>Q27*R27</f>
        <v>3063994.6716867462</v>
      </c>
      <c r="T27" s="438">
        <f>P27</f>
        <v>0.25</v>
      </c>
      <c r="U27" s="439">
        <f>S27*T27</f>
        <v>765998.66792168655</v>
      </c>
      <c r="V27" s="438">
        <f>R27</f>
        <v>1</v>
      </c>
      <c r="W27" s="439">
        <f>U27*V27</f>
        <v>765998.66792168655</v>
      </c>
      <c r="X27" s="438">
        <f>T27</f>
        <v>0.25</v>
      </c>
      <c r="Y27" s="439">
        <f>W27*X27</f>
        <v>191499.66698042164</v>
      </c>
      <c r="Z27" s="438">
        <f>V27</f>
        <v>1</v>
      </c>
      <c r="AA27" s="439">
        <f>Y27*Z27</f>
        <v>191499.66698042164</v>
      </c>
      <c r="AB27" s="438">
        <f>X27</f>
        <v>0.25</v>
      </c>
      <c r="AC27" s="439">
        <f>AA27*AB27</f>
        <v>47874.916745105409</v>
      </c>
      <c r="AD27" s="438">
        <f>Z27</f>
        <v>1</v>
      </c>
      <c r="AE27" s="439">
        <f>AC27*AD27</f>
        <v>47874.916745105409</v>
      </c>
      <c r="AF27" s="438">
        <f>AB27</f>
        <v>0.25</v>
      </c>
      <c r="AG27" s="439">
        <f>AE27*AF27</f>
        <v>11968.729186276352</v>
      </c>
      <c r="AH27" s="438">
        <f>AD27</f>
        <v>1</v>
      </c>
      <c r="AI27" s="439">
        <f>AG27*AH27</f>
        <v>11968.729186276352</v>
      </c>
      <c r="AJ27" s="438">
        <f>AF27</f>
        <v>0.25</v>
      </c>
      <c r="AK27" s="439">
        <f>AI27*AJ27</f>
        <v>2992.1822965690881</v>
      </c>
      <c r="AL27" s="438">
        <f>AH27</f>
        <v>1</v>
      </c>
      <c r="AM27" s="439">
        <f>AK27*AL27</f>
        <v>2992.1822965690881</v>
      </c>
      <c r="AN27" s="161">
        <f>G27+I27+M27+Q27+U27+Y27+AC27+AG27+AK27</f>
        <v>261459881.25650346</v>
      </c>
      <c r="AP27" s="597">
        <f>AJ27</f>
        <v>0.25</v>
      </c>
      <c r="AQ27" s="439">
        <f>AM27*AP27</f>
        <v>748.04557414227202</v>
      </c>
      <c r="AR27" s="623"/>
      <c r="AS27" s="624"/>
      <c r="AT27" s="628"/>
      <c r="AW27" s="473"/>
      <c r="BB27" s="982" t="s">
        <v>989</v>
      </c>
      <c r="BC27" s="983">
        <f t="shared" si="2"/>
        <v>2020</v>
      </c>
      <c r="BD27" s="910">
        <f t="shared" si="3"/>
        <v>83385936566883.984</v>
      </c>
      <c r="BE27" s="985">
        <f t="shared" si="4"/>
        <v>2.5000000000000001E-2</v>
      </c>
      <c r="BF27" s="910">
        <f t="shared" si="5"/>
        <v>2084648414172.0996</v>
      </c>
      <c r="BG27" s="895" t="s">
        <v>1283</v>
      </c>
      <c r="BH27" s="75"/>
      <c r="BI27" s="968">
        <f t="shared" si="6"/>
        <v>2020</v>
      </c>
      <c r="BJ27" s="305">
        <f>BJ20</f>
        <v>10737418.24</v>
      </c>
      <c r="BK27" s="986">
        <v>64</v>
      </c>
      <c r="BL27" s="411">
        <f t="shared" si="0"/>
        <v>687194767.36000001</v>
      </c>
      <c r="BM27" s="980">
        <v>1.5</v>
      </c>
      <c r="BN27" s="980"/>
      <c r="BO27" s="305">
        <f t="shared" si="1"/>
        <v>1030792151.04</v>
      </c>
      <c r="BP27" s="978" t="s">
        <v>1144</v>
      </c>
      <c r="BQ27" s="305">
        <f t="shared" si="7"/>
        <v>1030792151.04</v>
      </c>
      <c r="BR27" s="691">
        <f t="shared" si="8"/>
        <v>1185410973.6960001</v>
      </c>
      <c r="BS27" s="893">
        <f t="shared" ref="BS27:BS31" si="12">BS26</f>
        <v>0.125</v>
      </c>
      <c r="BT27" s="973">
        <f t="shared" si="11"/>
        <v>148176371.71200001</v>
      </c>
      <c r="BU27" s="305">
        <f t="shared" ref="BU27:BU55" si="13">BU26</f>
        <v>1364031369.8268316</v>
      </c>
      <c r="BV27" s="910">
        <f t="shared" si="9"/>
        <v>0</v>
      </c>
      <c r="BW27" s="981">
        <f t="shared" si="10"/>
        <v>2020</v>
      </c>
    </row>
    <row r="28" spans="1:77"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437"/>
      <c r="AK28" s="434"/>
      <c r="AL28" s="142"/>
      <c r="AM28" s="434"/>
      <c r="AN28" s="180"/>
      <c r="AP28" s="122"/>
      <c r="AQ28" s="8"/>
      <c r="AR28" s="623"/>
      <c r="AS28" s="624"/>
      <c r="AT28" s="629">
        <f>AQ5</f>
        <v>931175328.48713374</v>
      </c>
      <c r="AW28" s="473"/>
      <c r="BB28" s="982" t="s">
        <v>989</v>
      </c>
      <c r="BC28" s="983">
        <f t="shared" si="2"/>
        <v>2021</v>
      </c>
      <c r="BD28" s="910">
        <f t="shared" si="3"/>
        <v>85470584981056.078</v>
      </c>
      <c r="BE28" s="985">
        <f t="shared" si="4"/>
        <v>2.5000000000000001E-2</v>
      </c>
      <c r="BF28" s="910">
        <f t="shared" si="5"/>
        <v>2136764624526.4021</v>
      </c>
      <c r="BH28" s="75"/>
      <c r="BI28" s="968">
        <f t="shared" si="6"/>
        <v>2021</v>
      </c>
      <c r="BJ28" s="305">
        <f>BJ20</f>
        <v>10737418.24</v>
      </c>
      <c r="BK28" s="986">
        <v>64</v>
      </c>
      <c r="BL28" s="411">
        <f t="shared" si="0"/>
        <v>687194767.36000001</v>
      </c>
      <c r="BM28" s="980">
        <v>1.25</v>
      </c>
      <c r="BN28" s="980"/>
      <c r="BO28" s="305">
        <f t="shared" si="1"/>
        <v>858993459.20000005</v>
      </c>
      <c r="BP28" s="978" t="s">
        <v>1144</v>
      </c>
      <c r="BQ28" s="305">
        <f t="shared" si="7"/>
        <v>858993459.20000005</v>
      </c>
      <c r="BR28" s="691">
        <f t="shared" si="8"/>
        <v>2044404432.8960001</v>
      </c>
      <c r="BS28" s="893">
        <f t="shared" si="12"/>
        <v>0.125</v>
      </c>
      <c r="BT28" s="973">
        <f t="shared" si="11"/>
        <v>255550554.11200002</v>
      </c>
      <c r="BU28" s="305">
        <f t="shared" si="13"/>
        <v>1364031369.8268316</v>
      </c>
      <c r="BV28" s="910">
        <f t="shared" si="9"/>
        <v>0</v>
      </c>
      <c r="BW28" s="981">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13507904741.969419</v>
      </c>
      <c r="AP29" s="179"/>
      <c r="AQ29" s="161">
        <f>SUM(AQ10:AQ28)</f>
        <v>829459224.25361788</v>
      </c>
      <c r="AR29" s="691">
        <v>1</v>
      </c>
      <c r="AS29" s="183">
        <f>AQ29*AR29</f>
        <v>829459224.25361788</v>
      </c>
      <c r="AT29" s="645">
        <f>AS29+AT28</f>
        <v>1760634552.7407517</v>
      </c>
      <c r="AU29" s="253" t="s">
        <v>1383</v>
      </c>
      <c r="AW29" s="473"/>
      <c r="BB29" s="982" t="s">
        <v>989</v>
      </c>
      <c r="BC29" s="983">
        <f>BC28+1</f>
        <v>2022</v>
      </c>
      <c r="BD29" s="910">
        <f>BD28+BF28</f>
        <v>87607349605582.484</v>
      </c>
      <c r="BE29" s="985">
        <f>BE28</f>
        <v>2.5000000000000001E-2</v>
      </c>
      <c r="BF29" s="910">
        <f t="shared" si="5"/>
        <v>2190183740139.5623</v>
      </c>
      <c r="BH29" s="75"/>
      <c r="BI29" s="968">
        <f>BI28+1</f>
        <v>2022</v>
      </c>
      <c r="BJ29" s="305">
        <f>BJ20</f>
        <v>10737418.24</v>
      </c>
      <c r="BK29" s="986">
        <v>64</v>
      </c>
      <c r="BL29" s="411">
        <f t="shared" si="0"/>
        <v>687194767.36000001</v>
      </c>
      <c r="BM29" s="980">
        <v>2</v>
      </c>
      <c r="BN29" s="980"/>
      <c r="BO29" s="305">
        <f t="shared" si="1"/>
        <v>1374389534.72</v>
      </c>
      <c r="BP29" s="978" t="s">
        <v>1144</v>
      </c>
      <c r="BQ29" s="305">
        <f t="shared" si="7"/>
        <v>1374389534.72</v>
      </c>
      <c r="BR29" s="691">
        <f t="shared" si="8"/>
        <v>3418793967.6160002</v>
      </c>
      <c r="BS29" s="893">
        <f t="shared" si="12"/>
        <v>0.125</v>
      </c>
      <c r="BT29" s="973">
        <f t="shared" si="11"/>
        <v>427349245.95200002</v>
      </c>
      <c r="BU29" s="305">
        <f t="shared" si="13"/>
        <v>1364031369.8268316</v>
      </c>
      <c r="BV29" s="910">
        <f t="shared" si="9"/>
        <v>0</v>
      </c>
      <c r="BW29" s="981">
        <f>BW28+1</f>
        <v>2022</v>
      </c>
    </row>
    <row r="30" spans="1:77" x14ac:dyDescent="0.3">
      <c r="C30" s="158"/>
      <c r="D30" s="10"/>
      <c r="E30" s="10"/>
      <c r="F30" s="10"/>
      <c r="G30" s="159">
        <f>SUM(G10:G29)</f>
        <v>2403526284.5562449</v>
      </c>
      <c r="H30" s="599"/>
      <c r="I30" s="172">
        <f>SUM(I10:I29)</f>
        <v>2008995466.4042964</v>
      </c>
      <c r="J30" s="158"/>
      <c r="K30" s="11"/>
      <c r="L30" s="160"/>
      <c r="M30" s="161">
        <f>SUM(M10:M29)</f>
        <v>1762872369.5012474</v>
      </c>
      <c r="N30" s="158"/>
      <c r="O30" s="11"/>
      <c r="P30" s="598"/>
      <c r="Q30" s="172">
        <f>SUM(Q10:Q29)</f>
        <v>1571939743.5661986</v>
      </c>
      <c r="R30" s="158"/>
      <c r="S30" s="11"/>
      <c r="T30" s="160"/>
      <c r="U30" s="161">
        <f>SUM(U10:U29)</f>
        <v>1409414671.2537131</v>
      </c>
      <c r="V30" s="158"/>
      <c r="W30" s="11"/>
      <c r="X30" s="598"/>
      <c r="Y30" s="172">
        <f>SUM(Y10:Y29)</f>
        <v>1266305554.2845578</v>
      </c>
      <c r="Z30" s="158"/>
      <c r="AA30" s="11"/>
      <c r="AB30" s="160"/>
      <c r="AC30" s="161">
        <f>SUM(AC10:AC29)</f>
        <v>1138715648.7177477</v>
      </c>
      <c r="AD30" s="158"/>
      <c r="AE30" s="11"/>
      <c r="AF30" s="598"/>
      <c r="AG30" s="172">
        <f>SUM(AG10:AG29)</f>
        <v>1024395527.4726799</v>
      </c>
      <c r="AH30" s="158"/>
      <c r="AI30" s="11"/>
      <c r="AJ30" s="179"/>
      <c r="AK30" s="161">
        <f>SUM(AK10:AK29)</f>
        <v>921739476.21273649</v>
      </c>
      <c r="AL30" s="158"/>
      <c r="AM30" s="11"/>
      <c r="AN30" s="161">
        <f>G30+I30+M30+Q30+U30+Y30+AC30+AG30+AK30</f>
        <v>13507904741.969419</v>
      </c>
      <c r="AT30" s="253" t="s">
        <v>1383</v>
      </c>
      <c r="AW30" s="473"/>
      <c r="BB30" s="982" t="s">
        <v>989</v>
      </c>
      <c r="BC30" s="983">
        <f>BC29+1</f>
        <v>2023</v>
      </c>
      <c r="BD30" s="910">
        <f>BD29+BF29</f>
        <v>89797533345722.047</v>
      </c>
      <c r="BE30" s="985">
        <f>BE29</f>
        <v>2.5000000000000001E-2</v>
      </c>
      <c r="BF30" s="910">
        <f t="shared" si="5"/>
        <v>2244938333643.0513</v>
      </c>
      <c r="BH30" s="75"/>
      <c r="BI30" s="968">
        <f>BI29+1</f>
        <v>2023</v>
      </c>
      <c r="BJ30" s="305">
        <f>BJ20</f>
        <v>10737418.24</v>
      </c>
      <c r="BK30" s="986">
        <v>64</v>
      </c>
      <c r="BL30" s="411">
        <f t="shared" si="0"/>
        <v>687194767.36000001</v>
      </c>
      <c r="BM30" s="980">
        <v>3</v>
      </c>
      <c r="BN30" s="980"/>
      <c r="BO30" s="305">
        <f t="shared" si="1"/>
        <v>2061584302.0799999</v>
      </c>
      <c r="BP30" s="978" t="s">
        <v>1144</v>
      </c>
      <c r="BQ30" s="305">
        <f t="shared" si="7"/>
        <v>2061584302.0799999</v>
      </c>
      <c r="BR30" s="691">
        <f t="shared" si="8"/>
        <v>5480378269.6960001</v>
      </c>
      <c r="BS30" s="893">
        <f t="shared" si="12"/>
        <v>0.125</v>
      </c>
      <c r="BT30" s="973">
        <f t="shared" si="11"/>
        <v>685047283.71200001</v>
      </c>
      <c r="BU30" s="305">
        <f t="shared" si="13"/>
        <v>1364031369.8268316</v>
      </c>
      <c r="BV30" s="910">
        <f t="shared" si="9"/>
        <v>0</v>
      </c>
      <c r="BW30" s="981">
        <f>BW29+1</f>
        <v>2023</v>
      </c>
    </row>
    <row r="31" spans="1:77" x14ac:dyDescent="0.3">
      <c r="I31" s="30"/>
      <c r="Q31" s="30"/>
      <c r="Y31" s="30"/>
      <c r="AN31" s="999" t="s">
        <v>1355</v>
      </c>
      <c r="AP31" s="77" t="s">
        <v>1382</v>
      </c>
      <c r="AQ31" s="567">
        <f>AN34</f>
        <v>5.8729156581436772</v>
      </c>
      <c r="AR31" s="76"/>
      <c r="AS31" s="76" t="s">
        <v>957</v>
      </c>
      <c r="AW31" s="473"/>
      <c r="BB31" s="982" t="s">
        <v>989</v>
      </c>
      <c r="BC31" s="983">
        <f t="shared" si="2"/>
        <v>2024</v>
      </c>
      <c r="BD31" s="910">
        <f t="shared" si="3"/>
        <v>92042471679365.094</v>
      </c>
      <c r="BE31" s="985">
        <f t="shared" si="4"/>
        <v>2.5000000000000001E-2</v>
      </c>
      <c r="BF31" s="910">
        <f t="shared" si="5"/>
        <v>2301061791984.1274</v>
      </c>
      <c r="BG31" s="895" t="s">
        <v>1282</v>
      </c>
      <c r="BH31" s="75"/>
      <c r="BI31" s="968">
        <f t="shared" si="6"/>
        <v>2024</v>
      </c>
      <c r="BJ31" s="305">
        <f>BJ20</f>
        <v>10737418.24</v>
      </c>
      <c r="BK31" s="986">
        <v>64</v>
      </c>
      <c r="BL31" s="411">
        <f t="shared" si="0"/>
        <v>687194767.36000001</v>
      </c>
      <c r="BM31" s="980">
        <v>8</v>
      </c>
      <c r="BN31" s="980"/>
      <c r="BO31" s="305">
        <f t="shared" si="1"/>
        <v>5497558138.8800001</v>
      </c>
      <c r="BP31" s="978" t="s">
        <v>1144</v>
      </c>
      <c r="BQ31" s="305">
        <f t="shared" si="7"/>
        <v>5497558138.8800001</v>
      </c>
      <c r="BR31" s="691">
        <f t="shared" si="8"/>
        <v>10977936408.576</v>
      </c>
      <c r="BS31" s="893">
        <f t="shared" si="12"/>
        <v>0.125</v>
      </c>
      <c r="BT31" s="995">
        <f t="shared" si="11"/>
        <v>1372242051.072</v>
      </c>
      <c r="BU31" s="305">
        <f t="shared" si="13"/>
        <v>1364031369.8268316</v>
      </c>
      <c r="BV31" s="910">
        <f t="shared" si="9"/>
        <v>0</v>
      </c>
      <c r="BW31" s="981">
        <f t="shared" si="10"/>
        <v>2024</v>
      </c>
      <c r="BX31" s="1000">
        <v>0.125</v>
      </c>
      <c r="BY31" s="1001">
        <f>BT31*BS31</f>
        <v>171530256.384</v>
      </c>
    </row>
    <row r="32" spans="1:77" x14ac:dyDescent="0.3">
      <c r="A32" s="690"/>
      <c r="B32" s="690"/>
      <c r="I32" s="690"/>
      <c r="AM32" s="1150" t="s">
        <v>306</v>
      </c>
      <c r="AN32" s="182">
        <f>E8</f>
        <v>4807052569.1124897</v>
      </c>
      <c r="AP32" s="736">
        <f>AN47</f>
        <v>4807052569.1124897</v>
      </c>
      <c r="AQ32" s="568">
        <f>AP32*AN34</f>
        <v>28231414302.66053</v>
      </c>
      <c r="AR32" s="208">
        <f>AO49</f>
        <v>0.66163000000000005</v>
      </c>
      <c r="AS32" s="691">
        <f>AQ32*AR32</f>
        <v>18678750645.069286</v>
      </c>
      <c r="AW32" s="473"/>
      <c r="BB32" s="332" t="s">
        <v>989</v>
      </c>
      <c r="BC32" s="953">
        <f>BC31+1</f>
        <v>2025</v>
      </c>
      <c r="BD32" s="691">
        <f>BD31+BF31</f>
        <v>94343533471349.219</v>
      </c>
      <c r="BE32" s="894">
        <f>BE31</f>
        <v>2.5000000000000001E-2</v>
      </c>
      <c r="BF32" s="691">
        <f t="shared" si="5"/>
        <v>2358588336783.7305</v>
      </c>
      <c r="BH32" s="332" t="s">
        <v>963</v>
      </c>
      <c r="BI32" s="953">
        <f>BI31+1</f>
        <v>2025</v>
      </c>
      <c r="BJ32" s="691">
        <f>BJ20</f>
        <v>10737418.24</v>
      </c>
      <c r="BK32" s="987">
        <v>64</v>
      </c>
      <c r="BL32" s="875">
        <f t="shared" si="0"/>
        <v>687194767.36000001</v>
      </c>
      <c r="BM32" s="977"/>
      <c r="BN32" s="977"/>
      <c r="BO32" s="691">
        <f t="shared" si="1"/>
        <v>0</v>
      </c>
      <c r="BQ32" s="691">
        <f t="shared" si="7"/>
        <v>0</v>
      </c>
      <c r="BR32" s="691">
        <f t="shared" si="8"/>
        <v>10977936408.576</v>
      </c>
      <c r="BS32" s="894">
        <f>BS31</f>
        <v>0.125</v>
      </c>
      <c r="BT32" s="975">
        <f t="shared" si="11"/>
        <v>1372242051.072</v>
      </c>
      <c r="BU32" s="691">
        <f t="shared" si="13"/>
        <v>1364031369.8268316</v>
      </c>
      <c r="BV32" s="183">
        <f t="shared" si="9"/>
        <v>0</v>
      </c>
      <c r="BW32" s="949">
        <f>BW31+1</f>
        <v>2025</v>
      </c>
    </row>
    <row r="33" spans="1:75" x14ac:dyDescent="0.3">
      <c r="I33" s="690"/>
      <c r="J33" s="18"/>
      <c r="K33" s="690"/>
      <c r="AM33" s="122" t="s">
        <v>307</v>
      </c>
      <c r="AN33" s="183">
        <f>AN29+AN5</f>
        <v>28231414302.660534</v>
      </c>
      <c r="AQ33" s="248"/>
      <c r="AS33" s="181"/>
      <c r="AW33" s="473"/>
      <c r="BB33" s="332" t="s">
        <v>989</v>
      </c>
      <c r="BC33" s="953">
        <f t="shared" si="2"/>
        <v>2026</v>
      </c>
      <c r="BD33" s="691">
        <f t="shared" si="3"/>
        <v>96702121808132.953</v>
      </c>
      <c r="BE33" s="894">
        <f t="shared" si="4"/>
        <v>2.5000000000000001E-2</v>
      </c>
      <c r="BF33" s="691">
        <f t="shared" si="5"/>
        <v>2417553045203.3237</v>
      </c>
      <c r="BH33" s="332"/>
      <c r="BI33" s="953">
        <f t="shared" si="6"/>
        <v>2026</v>
      </c>
      <c r="BJ33" s="691">
        <f>BJ20</f>
        <v>10737418.24</v>
      </c>
      <c r="BK33" s="987">
        <v>64</v>
      </c>
      <c r="BL33" s="875">
        <f t="shared" si="0"/>
        <v>687194767.36000001</v>
      </c>
      <c r="BM33" s="977"/>
      <c r="BN33" s="977"/>
      <c r="BO33" s="691">
        <f t="shared" si="1"/>
        <v>0</v>
      </c>
      <c r="BQ33" s="691">
        <f t="shared" si="7"/>
        <v>0</v>
      </c>
      <c r="BR33" s="691">
        <f t="shared" si="8"/>
        <v>10977936408.576</v>
      </c>
      <c r="BS33" s="894">
        <f>BS32</f>
        <v>0.125</v>
      </c>
      <c r="BT33" s="975">
        <f t="shared" si="11"/>
        <v>1372242051.072</v>
      </c>
      <c r="BU33" s="691">
        <f t="shared" si="13"/>
        <v>1364031369.8268316</v>
      </c>
      <c r="BV33" s="183">
        <f t="shared" si="9"/>
        <v>0</v>
      </c>
      <c r="BW33" s="949">
        <f t="shared" si="10"/>
        <v>2026</v>
      </c>
    </row>
    <row r="34" spans="1:75" x14ac:dyDescent="0.3">
      <c r="A34" s="690"/>
      <c r="B34" s="690"/>
      <c r="C34" s="900" t="s">
        <v>1036</v>
      </c>
      <c r="D34" s="901" t="s">
        <v>1287</v>
      </c>
      <c r="E34" s="4"/>
      <c r="F34" s="4"/>
      <c r="G34" s="5"/>
      <c r="AM34" s="1150" t="s">
        <v>310</v>
      </c>
      <c r="AN34" s="184">
        <f>AN33/AN32</f>
        <v>5.8729156581436772</v>
      </c>
      <c r="AO34" s="239"/>
      <c r="AP34" s="239" t="s">
        <v>974</v>
      </c>
      <c r="AQ34" s="248" t="s">
        <v>1384</v>
      </c>
      <c r="AR34" s="239"/>
      <c r="AS34" s="181"/>
      <c r="AW34" s="473"/>
      <c r="BB34" s="332" t="s">
        <v>989</v>
      </c>
      <c r="BC34" s="953">
        <f t="shared" si="2"/>
        <v>2027</v>
      </c>
      <c r="BD34" s="691">
        <f t="shared" si="3"/>
        <v>99119674853336.281</v>
      </c>
      <c r="BE34" s="894">
        <f t="shared" si="4"/>
        <v>2.5000000000000001E-2</v>
      </c>
      <c r="BF34" s="691">
        <f t="shared" si="5"/>
        <v>2477991871333.4072</v>
      </c>
      <c r="BH34" s="76"/>
      <c r="BI34" s="953">
        <f t="shared" si="6"/>
        <v>2027</v>
      </c>
      <c r="BJ34" s="691">
        <f>BJ20</f>
        <v>10737418.24</v>
      </c>
      <c r="BK34" s="987">
        <v>64</v>
      </c>
      <c r="BL34" s="875">
        <f t="shared" si="0"/>
        <v>687194767.36000001</v>
      </c>
      <c r="BM34" s="977"/>
      <c r="BN34" s="977"/>
      <c r="BO34" s="691">
        <f t="shared" si="1"/>
        <v>0</v>
      </c>
      <c r="BQ34" s="691">
        <f t="shared" si="7"/>
        <v>0</v>
      </c>
      <c r="BR34" s="691">
        <f t="shared" si="8"/>
        <v>10977936408.576</v>
      </c>
      <c r="BS34" s="894">
        <f t="shared" ref="BS34:BS55" si="14">BS33</f>
        <v>0.125</v>
      </c>
      <c r="BT34" s="975">
        <f t="shared" si="11"/>
        <v>1372242051.072</v>
      </c>
      <c r="BU34" s="691">
        <f t="shared" si="13"/>
        <v>1364031369.8268316</v>
      </c>
      <c r="BV34" s="183">
        <f t="shared" si="9"/>
        <v>0</v>
      </c>
      <c r="BW34" s="949">
        <f t="shared" si="10"/>
        <v>2027</v>
      </c>
    </row>
    <row r="35" spans="1:75" x14ac:dyDescent="0.3">
      <c r="A35" s="690"/>
      <c r="B35" s="690"/>
      <c r="C35" s="122" t="s">
        <v>732</v>
      </c>
      <c r="D35" s="287" t="s">
        <v>1288</v>
      </c>
      <c r="E35" s="7" t="s">
        <v>1289</v>
      </c>
      <c r="F35" s="7"/>
      <c r="G35" s="8"/>
      <c r="AL35" s="38"/>
      <c r="AM35" s="1150" t="s">
        <v>785</v>
      </c>
      <c r="AN35" s="472"/>
      <c r="AO35" s="473"/>
      <c r="AP35" s="472"/>
      <c r="AQ35" s="472">
        <f>AP35-AN35</f>
        <v>0</v>
      </c>
      <c r="AR35" s="473"/>
      <c r="AS35" s="563"/>
      <c r="AT35" s="473"/>
      <c r="AU35" s="473"/>
      <c r="AV35" s="473"/>
      <c r="AW35" s="473"/>
      <c r="AX35" s="88"/>
      <c r="AY35" s="88"/>
      <c r="AZ35" s="88"/>
      <c r="BA35" s="88"/>
      <c r="BB35" s="332" t="s">
        <v>989</v>
      </c>
      <c r="BC35" s="953">
        <f t="shared" si="2"/>
        <v>2028</v>
      </c>
      <c r="BD35" s="691">
        <f t="shared" si="3"/>
        <v>101597666724669.69</v>
      </c>
      <c r="BE35" s="894">
        <f t="shared" si="4"/>
        <v>2.5000000000000001E-2</v>
      </c>
      <c r="BF35" s="691">
        <f t="shared" si="5"/>
        <v>2539941668116.7422</v>
      </c>
      <c r="BH35" s="76"/>
      <c r="BI35" s="953">
        <f t="shared" si="6"/>
        <v>2028</v>
      </c>
      <c r="BJ35" s="691">
        <f>BJ20</f>
        <v>10737418.24</v>
      </c>
      <c r="BK35" s="987">
        <v>64</v>
      </c>
      <c r="BL35" s="875">
        <f t="shared" si="0"/>
        <v>687194767.36000001</v>
      </c>
      <c r="BM35" s="977"/>
      <c r="BN35" s="977"/>
      <c r="BO35" s="691">
        <f t="shared" si="1"/>
        <v>0</v>
      </c>
      <c r="BQ35" s="691">
        <f t="shared" si="7"/>
        <v>0</v>
      </c>
      <c r="BR35" s="691">
        <f t="shared" si="8"/>
        <v>10977936408.576</v>
      </c>
      <c r="BS35" s="894">
        <f t="shared" si="14"/>
        <v>0.125</v>
      </c>
      <c r="BT35" s="975">
        <f t="shared" si="11"/>
        <v>1372242051.072</v>
      </c>
      <c r="BU35" s="691">
        <f t="shared" si="13"/>
        <v>1364031369.8268316</v>
      </c>
      <c r="BV35" s="183">
        <f t="shared" si="9"/>
        <v>0</v>
      </c>
      <c r="BW35" s="949">
        <f t="shared" si="10"/>
        <v>2028</v>
      </c>
    </row>
    <row r="36" spans="1:75" x14ac:dyDescent="0.3">
      <c r="A36" s="690"/>
      <c r="B36" s="690"/>
      <c r="C36" s="1151">
        <v>32</v>
      </c>
      <c r="D36" s="411">
        <f>'POP Dimensions'!J15</f>
        <v>21474836.48</v>
      </c>
      <c r="E36" s="411">
        <f>C36*D36</f>
        <v>687194767.36000001</v>
      </c>
      <c r="F36" s="896"/>
      <c r="G36" s="902" t="s">
        <v>732</v>
      </c>
      <c r="AL36" s="38"/>
      <c r="AM36" s="1206" t="s">
        <v>1445</v>
      </c>
      <c r="AN36" s="1207">
        <v>0</v>
      </c>
      <c r="AO36" s="88"/>
      <c r="AP36" s="511"/>
      <c r="AQ36" s="511"/>
      <c r="AR36" s="88"/>
      <c r="AS36" s="181"/>
      <c r="AT36" s="88"/>
      <c r="AU36" s="88"/>
      <c r="AV36" s="616">
        <f>AS47*AX47</f>
        <v>241133535017.2648</v>
      </c>
      <c r="AW36" s="617" t="s">
        <v>778</v>
      </c>
      <c r="AX36" s="88"/>
      <c r="AY36" s="88"/>
      <c r="AZ36" s="88"/>
      <c r="BA36" s="88"/>
      <c r="BB36" s="332" t="s">
        <v>989</v>
      </c>
      <c r="BC36" s="953">
        <f>BC35+1</f>
        <v>2029</v>
      </c>
      <c r="BD36" s="691">
        <f>BD35+BF35</f>
        <v>104137608392786.44</v>
      </c>
      <c r="BE36" s="894">
        <f>BE35</f>
        <v>2.5000000000000001E-2</v>
      </c>
      <c r="BF36" s="691">
        <f>BD36*BE36</f>
        <v>2603440209819.6611</v>
      </c>
      <c r="BH36" s="76"/>
      <c r="BI36" s="953">
        <f>BI35+1</f>
        <v>2029</v>
      </c>
      <c r="BJ36" s="691">
        <f>BJ20</f>
        <v>10737418.24</v>
      </c>
      <c r="BK36" s="987">
        <v>64</v>
      </c>
      <c r="BL36" s="875">
        <f>BK36*BJ36</f>
        <v>687194767.36000001</v>
      </c>
      <c r="BM36" s="977"/>
      <c r="BN36" s="977"/>
      <c r="BO36" s="691">
        <f>BL36*BM36</f>
        <v>0</v>
      </c>
      <c r="BQ36" s="691">
        <f t="shared" si="7"/>
        <v>0</v>
      </c>
      <c r="BR36" s="691">
        <f>BQ36+BR35-BV36</f>
        <v>10977936408.576</v>
      </c>
      <c r="BS36" s="894">
        <f t="shared" si="14"/>
        <v>0.125</v>
      </c>
      <c r="BT36" s="975">
        <f t="shared" si="11"/>
        <v>1372242051.072</v>
      </c>
      <c r="BU36" s="691">
        <f t="shared" si="13"/>
        <v>1364031369.8268316</v>
      </c>
      <c r="BV36" s="183">
        <f>BL36*BN36</f>
        <v>0</v>
      </c>
      <c r="BW36" s="949">
        <f t="shared" si="10"/>
        <v>2029</v>
      </c>
    </row>
    <row r="37" spans="1:75" x14ac:dyDescent="0.3">
      <c r="A37" s="690"/>
      <c r="B37" s="690"/>
      <c r="C37" s="1152">
        <f>C36*2</f>
        <v>64</v>
      </c>
      <c r="D37" s="897">
        <f>D36</f>
        <v>21474836.48</v>
      </c>
      <c r="E37" s="897">
        <f t="shared" ref="E37:E43" si="15">C37*D37</f>
        <v>1374389534.72</v>
      </c>
      <c r="F37" s="874"/>
      <c r="G37" s="903" t="s">
        <v>732</v>
      </c>
      <c r="AL37" s="38"/>
      <c r="AM37" s="1206" t="s">
        <v>1444</v>
      </c>
      <c r="AN37" s="1207">
        <v>0</v>
      </c>
      <c r="AO37" s="88"/>
      <c r="AP37" s="511"/>
      <c r="AQ37" s="511"/>
      <c r="AR37" s="88"/>
      <c r="AS37" s="181"/>
      <c r="AT37" s="88"/>
      <c r="AU37" s="88"/>
      <c r="AV37" s="616"/>
      <c r="AW37" s="617"/>
      <c r="AX37" s="88"/>
      <c r="AY37" s="88"/>
      <c r="AZ37" s="88"/>
      <c r="BA37" s="88"/>
      <c r="BB37" s="332" t="s">
        <v>989</v>
      </c>
      <c r="BC37" s="953">
        <f>BC36+1</f>
        <v>2030</v>
      </c>
      <c r="BD37" s="691">
        <f>BD36+BF36</f>
        <v>106741048602606.09</v>
      </c>
      <c r="BE37" s="894">
        <f>BE36</f>
        <v>2.5000000000000001E-2</v>
      </c>
      <c r="BF37" s="691">
        <f>BD37*BE37</f>
        <v>2668526215065.1523</v>
      </c>
      <c r="BH37" s="76"/>
      <c r="BI37" s="953">
        <f>BI36+1</f>
        <v>2030</v>
      </c>
      <c r="BJ37" s="691">
        <f>BJ20</f>
        <v>10737418.24</v>
      </c>
      <c r="BK37" s="987">
        <v>64</v>
      </c>
      <c r="BL37" s="875">
        <f t="shared" ref="BL37:BL55" si="16">BK37*BJ37</f>
        <v>687194767.36000001</v>
      </c>
      <c r="BM37" s="977"/>
      <c r="BN37" s="977"/>
      <c r="BO37" s="691">
        <f t="shared" ref="BO37:BO55" si="17">BL37*BM37</f>
        <v>0</v>
      </c>
      <c r="BQ37" s="691">
        <f t="shared" si="7"/>
        <v>0</v>
      </c>
      <c r="BR37" s="691">
        <f>BQ37+BR36-BV37</f>
        <v>10977936408.576</v>
      </c>
      <c r="BS37" s="894">
        <f t="shared" si="14"/>
        <v>0.125</v>
      </c>
      <c r="BT37" s="975">
        <f t="shared" si="11"/>
        <v>1372242051.072</v>
      </c>
      <c r="BU37" s="691">
        <f t="shared" si="13"/>
        <v>1364031369.8268316</v>
      </c>
      <c r="BV37" s="183">
        <f>BL37*BN37</f>
        <v>0</v>
      </c>
      <c r="BW37" s="949">
        <f t="shared" si="10"/>
        <v>2030</v>
      </c>
    </row>
    <row r="38" spans="1:75" x14ac:dyDescent="0.3">
      <c r="A38" s="690"/>
      <c r="B38" s="690"/>
      <c r="C38" s="1121">
        <f>C37*2</f>
        <v>128</v>
      </c>
      <c r="D38" s="875">
        <f t="shared" ref="D38:D43" si="18">D37</f>
        <v>21474836.48</v>
      </c>
      <c r="E38" s="875">
        <f t="shared" si="15"/>
        <v>2748779069.4400001</v>
      </c>
      <c r="F38" s="410"/>
      <c r="G38" s="126" t="s">
        <v>732</v>
      </c>
      <c r="AI38" s="1162" t="s">
        <v>1435</v>
      </c>
      <c r="AJ38" s="1160"/>
      <c r="AK38" s="1160"/>
      <c r="AL38" s="1160"/>
      <c r="AM38" s="1161" t="s">
        <v>1284</v>
      </c>
      <c r="AN38" s="1164">
        <f>'POP Dimensions'!L16</f>
        <v>343597383.68000001</v>
      </c>
      <c r="AO38" s="88"/>
      <c r="AP38" s="88"/>
      <c r="AQ38" s="253"/>
      <c r="AR38" s="88"/>
      <c r="AS38" s="181"/>
      <c r="BB38" s="332" t="s">
        <v>989</v>
      </c>
      <c r="BC38" s="953">
        <f>BC37+1</f>
        <v>2031</v>
      </c>
      <c r="BD38" s="691">
        <f>BD37+BF37</f>
        <v>109409574817671.25</v>
      </c>
      <c r="BE38" s="894">
        <f>BE37</f>
        <v>2.5000000000000001E-2</v>
      </c>
      <c r="BF38" s="691">
        <f>BD38*BE38</f>
        <v>2735239370441.7813</v>
      </c>
      <c r="BH38" s="76"/>
      <c r="BI38" s="953">
        <f t="shared" ref="BI38:BI55" si="19">BI37+1</f>
        <v>2031</v>
      </c>
      <c r="BJ38" s="691">
        <f>BJ20</f>
        <v>10737418.24</v>
      </c>
      <c r="BK38" s="987">
        <v>64</v>
      </c>
      <c r="BL38" s="875">
        <f t="shared" si="16"/>
        <v>687194767.36000001</v>
      </c>
      <c r="BM38" s="977"/>
      <c r="BN38" s="977"/>
      <c r="BO38" s="691">
        <f t="shared" si="17"/>
        <v>0</v>
      </c>
      <c r="BQ38" s="691">
        <f t="shared" si="7"/>
        <v>0</v>
      </c>
      <c r="BR38" s="691">
        <f t="shared" ref="BR38:BR55" si="20">BQ38+BR37-BV38</f>
        <v>10977936408.576</v>
      </c>
      <c r="BS38" s="894">
        <f t="shared" si="14"/>
        <v>0.125</v>
      </c>
      <c r="BT38" s="975">
        <f t="shared" si="11"/>
        <v>1372242051.072</v>
      </c>
      <c r="BU38" s="691">
        <f t="shared" si="13"/>
        <v>1364031369.8268316</v>
      </c>
      <c r="BV38" s="183">
        <f t="shared" ref="BV38:BV55" si="21">BL38*BN38</f>
        <v>0</v>
      </c>
      <c r="BW38" s="949">
        <f t="shared" si="10"/>
        <v>2031</v>
      </c>
    </row>
    <row r="39" spans="1:75" x14ac:dyDescent="0.3">
      <c r="A39" s="690"/>
      <c r="B39" s="690"/>
      <c r="C39" s="1151">
        <f>C38*2</f>
        <v>256</v>
      </c>
      <c r="D39" s="411">
        <f t="shared" si="18"/>
        <v>21474836.48</v>
      </c>
      <c r="E39" s="411">
        <f t="shared" si="15"/>
        <v>5497558138.8800001</v>
      </c>
      <c r="F39" s="896"/>
      <c r="G39" s="902" t="s">
        <v>732</v>
      </c>
      <c r="AI39" s="1163" t="s">
        <v>1436</v>
      </c>
      <c r="AM39" s="1155" t="s">
        <v>1279</v>
      </c>
      <c r="AN39" s="1164">
        <f>'POP Dimensions'!J16</f>
        <v>171798691.84</v>
      </c>
      <c r="AO39" s="88"/>
      <c r="AP39" s="88"/>
      <c r="AQ39" s="253"/>
      <c r="AR39" s="88"/>
      <c r="AS39" s="181"/>
      <c r="AV39" s="616"/>
      <c r="AW39" s="617"/>
      <c r="BB39" s="332" t="s">
        <v>989</v>
      </c>
      <c r="BC39" s="953">
        <f>BC38+1</f>
        <v>2032</v>
      </c>
      <c r="BD39" s="691">
        <f>BD38+BF38</f>
        <v>112144814188113.03</v>
      </c>
      <c r="BE39" s="894">
        <f>BE38</f>
        <v>2.5000000000000001E-2</v>
      </c>
      <c r="BF39" s="691">
        <f>BD39*BE39</f>
        <v>2803620354702.8262</v>
      </c>
      <c r="BG39" s="895" t="s">
        <v>1281</v>
      </c>
      <c r="BH39" s="76"/>
      <c r="BI39" s="953">
        <f t="shared" si="19"/>
        <v>2032</v>
      </c>
      <c r="BJ39" s="691">
        <f t="shared" ref="BJ39:BJ55" si="22">BJ29</f>
        <v>10737418.24</v>
      </c>
      <c r="BK39" s="987">
        <v>64</v>
      </c>
      <c r="BL39" s="875">
        <f t="shared" si="16"/>
        <v>687194767.36000001</v>
      </c>
      <c r="BM39" s="977"/>
      <c r="BN39" s="977"/>
      <c r="BO39" s="691">
        <f t="shared" si="17"/>
        <v>0</v>
      </c>
      <c r="BQ39" s="691">
        <f t="shared" si="7"/>
        <v>0</v>
      </c>
      <c r="BR39" s="691">
        <f t="shared" si="20"/>
        <v>10977936408.576</v>
      </c>
      <c r="BS39" s="894">
        <f t="shared" si="14"/>
        <v>0.125</v>
      </c>
      <c r="BT39" s="975">
        <f t="shared" si="11"/>
        <v>1372242051.072</v>
      </c>
      <c r="BU39" s="691">
        <f t="shared" si="13"/>
        <v>1364031369.8268316</v>
      </c>
      <c r="BV39" s="183">
        <f t="shared" si="21"/>
        <v>0</v>
      </c>
      <c r="BW39" s="949">
        <f t="shared" si="10"/>
        <v>2032</v>
      </c>
    </row>
    <row r="40" spans="1:75" x14ac:dyDescent="0.3">
      <c r="A40" s="690"/>
      <c r="B40" s="690"/>
      <c r="C40" s="1152">
        <f t="shared" ref="C40:C43" si="23">C39*2</f>
        <v>512</v>
      </c>
      <c r="D40" s="897">
        <f t="shared" si="18"/>
        <v>21474836.48</v>
      </c>
      <c r="E40" s="897">
        <f t="shared" si="15"/>
        <v>10995116277.76</v>
      </c>
      <c r="F40" s="874"/>
      <c r="G40" s="903" t="s">
        <v>732</v>
      </c>
      <c r="AM40" s="1156" t="s">
        <v>1277</v>
      </c>
      <c r="AN40" s="1164">
        <v>0</v>
      </c>
      <c r="AO40" s="88"/>
      <c r="AP40" s="88"/>
      <c r="AQ40" s="253"/>
      <c r="AR40" s="88"/>
      <c r="AS40" s="181"/>
      <c r="AV40" s="616"/>
      <c r="AW40" s="617"/>
      <c r="BB40" s="332" t="s">
        <v>989</v>
      </c>
      <c r="BC40" s="953">
        <f t="shared" ref="BC40:BC55" si="24">BC39+1</f>
        <v>2033</v>
      </c>
      <c r="BD40" s="691">
        <f t="shared" ref="BD40:BD55" si="25">BD39+BF39</f>
        <v>114948434542815.86</v>
      </c>
      <c r="BE40" s="894">
        <f t="shared" ref="BE40:BE55" si="26">BE39</f>
        <v>2.5000000000000001E-2</v>
      </c>
      <c r="BF40" s="691">
        <f t="shared" ref="BF40:BF55" si="27">BD40*BE40</f>
        <v>2873710863570.3965</v>
      </c>
      <c r="BH40" s="76"/>
      <c r="BI40" s="953">
        <f t="shared" si="19"/>
        <v>2033</v>
      </c>
      <c r="BJ40" s="691">
        <f t="shared" si="22"/>
        <v>10737418.24</v>
      </c>
      <c r="BK40" s="987">
        <v>64</v>
      </c>
      <c r="BL40" s="875">
        <f t="shared" si="16"/>
        <v>687194767.36000001</v>
      </c>
      <c r="BM40" s="969"/>
      <c r="BN40" s="977"/>
      <c r="BO40" s="691">
        <f t="shared" si="17"/>
        <v>0</v>
      </c>
      <c r="BQ40" s="691">
        <f t="shared" si="7"/>
        <v>0</v>
      </c>
      <c r="BR40" s="691">
        <f t="shared" si="20"/>
        <v>10977936408.576</v>
      </c>
      <c r="BS40" s="894">
        <f t="shared" si="14"/>
        <v>0.125</v>
      </c>
      <c r="BT40" s="975">
        <f t="shared" si="11"/>
        <v>1372242051.072</v>
      </c>
      <c r="BU40" s="691">
        <f t="shared" si="13"/>
        <v>1364031369.8268316</v>
      </c>
      <c r="BV40" s="183">
        <f t="shared" si="21"/>
        <v>0</v>
      </c>
      <c r="BW40" s="949">
        <f t="shared" si="10"/>
        <v>2033</v>
      </c>
    </row>
    <row r="41" spans="1:75" x14ac:dyDescent="0.3">
      <c r="A41" s="690"/>
      <c r="B41" s="690"/>
      <c r="C41" s="1121">
        <f t="shared" si="23"/>
        <v>1024</v>
      </c>
      <c r="D41" s="875">
        <f t="shared" si="18"/>
        <v>21474836.48</v>
      </c>
      <c r="E41" s="875">
        <f t="shared" si="15"/>
        <v>21990232555.52</v>
      </c>
      <c r="F41" s="410"/>
      <c r="G41" s="126" t="s">
        <v>732</v>
      </c>
      <c r="AK41" s="173" t="s">
        <v>1433</v>
      </c>
      <c r="AL41" s="1158"/>
      <c r="AM41" s="1159" t="s">
        <v>1285</v>
      </c>
      <c r="AN41" s="719">
        <v>0</v>
      </c>
      <c r="AO41" s="88"/>
      <c r="AP41" s="1208"/>
      <c r="AQ41" s="1208">
        <f>'2024 - ŔÉŚ 1 SPIN-8 Tax 95% '!AN47</f>
        <v>5497558138.8800001</v>
      </c>
      <c r="AR41" s="1209" t="s">
        <v>1447</v>
      </c>
      <c r="AS41" s="181"/>
      <c r="AV41" s="12" t="s">
        <v>979</v>
      </c>
      <c r="BB41" s="332" t="s">
        <v>989</v>
      </c>
      <c r="BC41" s="953">
        <f t="shared" si="24"/>
        <v>2034</v>
      </c>
      <c r="BD41" s="691">
        <f t="shared" si="25"/>
        <v>117822145406386.25</v>
      </c>
      <c r="BE41" s="894">
        <f t="shared" si="26"/>
        <v>2.5000000000000001E-2</v>
      </c>
      <c r="BF41" s="691">
        <f t="shared" si="27"/>
        <v>2945553635159.6563</v>
      </c>
      <c r="BH41" s="76"/>
      <c r="BI41" s="953">
        <f t="shared" si="19"/>
        <v>2034</v>
      </c>
      <c r="BJ41" s="691">
        <f t="shared" si="22"/>
        <v>10737418.24</v>
      </c>
      <c r="BK41" s="987">
        <v>64</v>
      </c>
      <c r="BL41" s="875">
        <f t="shared" si="16"/>
        <v>687194767.36000001</v>
      </c>
      <c r="BM41" s="969"/>
      <c r="BN41" s="977"/>
      <c r="BO41" s="691">
        <f t="shared" si="17"/>
        <v>0</v>
      </c>
      <c r="BQ41" s="691">
        <f t="shared" si="7"/>
        <v>0</v>
      </c>
      <c r="BR41" s="691">
        <f t="shared" si="20"/>
        <v>10977936408.576</v>
      </c>
      <c r="BS41" s="894">
        <f t="shared" si="14"/>
        <v>0.125</v>
      </c>
      <c r="BT41" s="975">
        <f t="shared" si="11"/>
        <v>1372242051.072</v>
      </c>
      <c r="BU41" s="691">
        <f t="shared" si="13"/>
        <v>1364031369.8268316</v>
      </c>
      <c r="BV41" s="183">
        <f t="shared" si="21"/>
        <v>0</v>
      </c>
      <c r="BW41" s="949">
        <f t="shared" si="10"/>
        <v>2034</v>
      </c>
    </row>
    <row r="42" spans="1:75" x14ac:dyDescent="0.3">
      <c r="A42" s="690"/>
      <c r="B42" s="690"/>
      <c r="C42" s="1153">
        <f t="shared" si="23"/>
        <v>2048</v>
      </c>
      <c r="D42" s="899">
        <f t="shared" si="18"/>
        <v>21474836.48</v>
      </c>
      <c r="E42" s="899">
        <f t="shared" si="15"/>
        <v>43980465111.040001</v>
      </c>
      <c r="F42" s="898"/>
      <c r="G42" s="905" t="s">
        <v>732</v>
      </c>
      <c r="AK42" s="618" t="s">
        <v>1434</v>
      </c>
      <c r="AM42" s="1155" t="s">
        <v>1278</v>
      </c>
      <c r="AN42" s="1164">
        <f>'Network Cities'!S37</f>
        <v>2943750000.5</v>
      </c>
      <c r="AO42" s="88"/>
      <c r="AP42" s="1208"/>
      <c r="AQ42" s="1208">
        <f>AN47</f>
        <v>4807052569.1124897</v>
      </c>
      <c r="AR42" s="1209" t="s">
        <v>1448</v>
      </c>
      <c r="AS42" s="181"/>
      <c r="AV42" s="12"/>
      <c r="BB42" s="332" t="s">
        <v>989</v>
      </c>
      <c r="BC42" s="953">
        <f t="shared" si="24"/>
        <v>2035</v>
      </c>
      <c r="BD42" s="691">
        <f t="shared" si="25"/>
        <v>120767699041545.91</v>
      </c>
      <c r="BE42" s="894">
        <f t="shared" si="26"/>
        <v>2.5000000000000001E-2</v>
      </c>
      <c r="BF42" s="691">
        <f t="shared" si="27"/>
        <v>3019192476038.6479</v>
      </c>
      <c r="BH42" s="76"/>
      <c r="BI42" s="953">
        <f t="shared" si="19"/>
        <v>2035</v>
      </c>
      <c r="BJ42" s="691">
        <f t="shared" si="22"/>
        <v>10737418.24</v>
      </c>
      <c r="BK42" s="987">
        <v>64</v>
      </c>
      <c r="BL42" s="875">
        <f t="shared" si="16"/>
        <v>687194767.36000001</v>
      </c>
      <c r="BM42" s="969"/>
      <c r="BN42" s="977"/>
      <c r="BO42" s="691">
        <f t="shared" si="17"/>
        <v>0</v>
      </c>
      <c r="BQ42" s="691">
        <f t="shared" si="7"/>
        <v>0</v>
      </c>
      <c r="BR42" s="691">
        <f t="shared" si="20"/>
        <v>10977936408.576</v>
      </c>
      <c r="BS42" s="894">
        <f t="shared" si="14"/>
        <v>0.125</v>
      </c>
      <c r="BT42" s="975">
        <f t="shared" si="11"/>
        <v>1372242051.072</v>
      </c>
      <c r="BU42" s="691">
        <f t="shared" si="13"/>
        <v>1364031369.8268316</v>
      </c>
      <c r="BV42" s="183">
        <f t="shared" si="21"/>
        <v>0</v>
      </c>
      <c r="BW42" s="949">
        <f t="shared" si="10"/>
        <v>2035</v>
      </c>
    </row>
    <row r="43" spans="1:75" x14ac:dyDescent="0.3">
      <c r="A43" s="690"/>
      <c r="B43" s="690"/>
      <c r="C43" s="1154">
        <f t="shared" si="23"/>
        <v>4096</v>
      </c>
      <c r="D43" s="906">
        <f t="shared" si="18"/>
        <v>21474836.48</v>
      </c>
      <c r="E43" s="906">
        <f t="shared" si="15"/>
        <v>87960930222.080002</v>
      </c>
      <c r="F43" s="907"/>
      <c r="G43" s="908" t="s">
        <v>732</v>
      </c>
      <c r="AM43" s="1155" t="s">
        <v>1161</v>
      </c>
      <c r="AN43" s="1164">
        <v>0</v>
      </c>
      <c r="AO43" s="88"/>
      <c r="AP43" s="1210">
        <v>0.14000000000000001</v>
      </c>
      <c r="AQ43" s="1208">
        <f>AN47*AP43</f>
        <v>672987359.67574859</v>
      </c>
      <c r="AR43" s="1208"/>
      <c r="AS43" s="181"/>
      <c r="AV43" s="12"/>
      <c r="BB43" s="332" t="s">
        <v>989</v>
      </c>
      <c r="BC43" s="953">
        <f t="shared" si="24"/>
        <v>2036</v>
      </c>
      <c r="BD43" s="691">
        <f t="shared" si="25"/>
        <v>123786891517584.55</v>
      </c>
      <c r="BE43" s="894">
        <f t="shared" si="26"/>
        <v>2.5000000000000001E-2</v>
      </c>
      <c r="BF43" s="691">
        <f t="shared" si="27"/>
        <v>3094672287939.6138</v>
      </c>
      <c r="BH43" s="76"/>
      <c r="BI43" s="953">
        <f t="shared" si="19"/>
        <v>2036</v>
      </c>
      <c r="BJ43" s="691">
        <f t="shared" si="22"/>
        <v>10737418.24</v>
      </c>
      <c r="BK43" s="987">
        <v>64</v>
      </c>
      <c r="BL43" s="875">
        <f t="shared" si="16"/>
        <v>687194767.36000001</v>
      </c>
      <c r="BM43" s="969"/>
      <c r="BN43" s="977"/>
      <c r="BO43" s="691">
        <f t="shared" si="17"/>
        <v>0</v>
      </c>
      <c r="BQ43" s="691">
        <f t="shared" si="7"/>
        <v>0</v>
      </c>
      <c r="BR43" s="691">
        <f t="shared" si="20"/>
        <v>10977936408.576</v>
      </c>
      <c r="BS43" s="894">
        <f t="shared" si="14"/>
        <v>0.125</v>
      </c>
      <c r="BT43" s="975">
        <f t="shared" si="11"/>
        <v>1372242051.072</v>
      </c>
      <c r="BU43" s="691">
        <f t="shared" si="13"/>
        <v>1364031369.8268316</v>
      </c>
      <c r="BV43" s="183">
        <f t="shared" si="21"/>
        <v>0</v>
      </c>
      <c r="BW43" s="949">
        <f t="shared" si="10"/>
        <v>2036</v>
      </c>
    </row>
    <row r="44" spans="1:75" x14ac:dyDescent="0.3">
      <c r="A44" s="690"/>
      <c r="B44" s="690"/>
      <c r="AK44" s="1162" t="s">
        <v>1433</v>
      </c>
      <c r="AL44" s="1160"/>
      <c r="AM44" s="1161" t="s">
        <v>1249</v>
      </c>
      <c r="AN44" s="1164">
        <v>0</v>
      </c>
      <c r="AO44" s="88"/>
      <c r="AP44" s="1208"/>
      <c r="AQ44" s="612">
        <f>SUM(AQ42:AQ43)</f>
        <v>5480039928.7882385</v>
      </c>
      <c r="AR44" s="1208"/>
      <c r="AS44" s="181"/>
      <c r="AV44" s="12"/>
      <c r="BB44" s="332" t="s">
        <v>989</v>
      </c>
      <c r="BC44" s="953">
        <f t="shared" si="24"/>
        <v>2037</v>
      </c>
      <c r="BD44" s="691">
        <f t="shared" si="25"/>
        <v>126881563805524.16</v>
      </c>
      <c r="BE44" s="894">
        <f t="shared" si="26"/>
        <v>2.5000000000000001E-2</v>
      </c>
      <c r="BF44" s="691">
        <f t="shared" si="27"/>
        <v>3172039095138.104</v>
      </c>
      <c r="BH44" s="76"/>
      <c r="BI44" s="953">
        <f t="shared" si="19"/>
        <v>2037</v>
      </c>
      <c r="BJ44" s="691">
        <f t="shared" si="22"/>
        <v>10737418.24</v>
      </c>
      <c r="BK44" s="987">
        <v>64</v>
      </c>
      <c r="BL44" s="875">
        <f t="shared" si="16"/>
        <v>687194767.36000001</v>
      </c>
      <c r="BM44" s="969"/>
      <c r="BN44" s="977"/>
      <c r="BO44" s="691">
        <f t="shared" si="17"/>
        <v>0</v>
      </c>
      <c r="BQ44" s="691">
        <f t="shared" si="7"/>
        <v>0</v>
      </c>
      <c r="BR44" s="691">
        <f t="shared" si="20"/>
        <v>10977936408.576</v>
      </c>
      <c r="BS44" s="894">
        <f t="shared" si="14"/>
        <v>0.125</v>
      </c>
      <c r="BT44" s="975">
        <f t="shared" si="11"/>
        <v>1372242051.072</v>
      </c>
      <c r="BU44" s="691">
        <f t="shared" si="13"/>
        <v>1364031369.8268316</v>
      </c>
      <c r="BV44" s="183">
        <f t="shared" si="21"/>
        <v>0</v>
      </c>
      <c r="BW44" s="949">
        <f t="shared" si="10"/>
        <v>2037</v>
      </c>
    </row>
    <row r="45" spans="1:75" x14ac:dyDescent="0.3">
      <c r="A45" s="690"/>
      <c r="B45" s="690"/>
      <c r="AK45" s="1163" t="s">
        <v>1437</v>
      </c>
      <c r="AM45" s="1157" t="s">
        <v>148</v>
      </c>
      <c r="AN45" s="1164">
        <v>0</v>
      </c>
      <c r="AO45" s="88"/>
      <c r="AR45" s="88"/>
      <c r="AS45" s="181"/>
      <c r="AV45" s="12"/>
      <c r="BB45" s="332" t="s">
        <v>989</v>
      </c>
      <c r="BC45" s="953">
        <f t="shared" si="24"/>
        <v>2038</v>
      </c>
      <c r="BD45" s="691">
        <f t="shared" si="25"/>
        <v>130053602900662.27</v>
      </c>
      <c r="BE45" s="894">
        <f t="shared" si="26"/>
        <v>2.5000000000000001E-2</v>
      </c>
      <c r="BF45" s="691">
        <f t="shared" si="27"/>
        <v>3251340072516.5566</v>
      </c>
      <c r="BH45" s="76"/>
      <c r="BI45" s="953">
        <f t="shared" si="19"/>
        <v>2038</v>
      </c>
      <c r="BJ45" s="691">
        <f t="shared" si="22"/>
        <v>10737418.24</v>
      </c>
      <c r="BK45" s="987">
        <v>64</v>
      </c>
      <c r="BL45" s="875">
        <f t="shared" si="16"/>
        <v>687194767.36000001</v>
      </c>
      <c r="BM45" s="969"/>
      <c r="BN45" s="977"/>
      <c r="BO45" s="691">
        <f t="shared" si="17"/>
        <v>0</v>
      </c>
      <c r="BQ45" s="691">
        <f t="shared" si="7"/>
        <v>0</v>
      </c>
      <c r="BR45" s="691">
        <f t="shared" si="20"/>
        <v>10977936408.576</v>
      </c>
      <c r="BS45" s="894">
        <f t="shared" si="14"/>
        <v>0.125</v>
      </c>
      <c r="BT45" s="975">
        <f t="shared" si="11"/>
        <v>1372242051.072</v>
      </c>
      <c r="BU45" s="691">
        <f t="shared" si="13"/>
        <v>1364031369.8268316</v>
      </c>
      <c r="BV45" s="183">
        <f t="shared" si="21"/>
        <v>0</v>
      </c>
      <c r="BW45" s="949">
        <f t="shared" si="10"/>
        <v>2038</v>
      </c>
    </row>
    <row r="46" spans="1:75" x14ac:dyDescent="0.3">
      <c r="A46" s="690"/>
      <c r="B46" s="690"/>
      <c r="AM46" s="1150" t="s">
        <v>948</v>
      </c>
      <c r="AN46" s="645">
        <f>'2024 - ŔÉŚ 1 SPIN-8 Tax 95% '!AT29</f>
        <v>1347906493.0924902</v>
      </c>
      <c r="AO46" s="88"/>
      <c r="AP46" s="88"/>
      <c r="AQ46" s="253"/>
      <c r="AR46" s="88"/>
      <c r="AS46" s="181" t="s">
        <v>805</v>
      </c>
      <c r="AT46" s="1" t="s">
        <v>998</v>
      </c>
      <c r="AV46" s="19">
        <v>0.01</v>
      </c>
      <c r="BB46" s="332" t="s">
        <v>989</v>
      </c>
      <c r="BC46" s="953">
        <f t="shared" si="24"/>
        <v>2039</v>
      </c>
      <c r="BD46" s="691">
        <f t="shared" si="25"/>
        <v>133304942973178.83</v>
      </c>
      <c r="BE46" s="894">
        <f t="shared" si="26"/>
        <v>2.5000000000000001E-2</v>
      </c>
      <c r="BF46" s="691">
        <f t="shared" si="27"/>
        <v>3332623574329.4707</v>
      </c>
      <c r="BH46" s="76"/>
      <c r="BI46" s="953">
        <f t="shared" si="19"/>
        <v>2039</v>
      </c>
      <c r="BJ46" s="691">
        <f t="shared" si="22"/>
        <v>10737418.24</v>
      </c>
      <c r="BK46" s="987">
        <v>64</v>
      </c>
      <c r="BL46" s="875">
        <f t="shared" si="16"/>
        <v>687194767.36000001</v>
      </c>
      <c r="BM46" s="969"/>
      <c r="BN46" s="977"/>
      <c r="BO46" s="691">
        <f t="shared" si="17"/>
        <v>0</v>
      </c>
      <c r="BQ46" s="691">
        <f t="shared" si="7"/>
        <v>0</v>
      </c>
      <c r="BR46" s="691">
        <f t="shared" si="20"/>
        <v>10977936408.576</v>
      </c>
      <c r="BS46" s="894">
        <f t="shared" si="14"/>
        <v>0.125</v>
      </c>
      <c r="BT46" s="975">
        <f t="shared" si="11"/>
        <v>1372242051.072</v>
      </c>
      <c r="BU46" s="691">
        <f t="shared" si="13"/>
        <v>1364031369.8268316</v>
      </c>
      <c r="BV46" s="183">
        <f t="shared" si="21"/>
        <v>0</v>
      </c>
      <c r="BW46" s="949">
        <f t="shared" si="10"/>
        <v>2039</v>
      </c>
    </row>
    <row r="47" spans="1:75" x14ac:dyDescent="0.3">
      <c r="K47" s="690"/>
      <c r="AM47" s="122" t="s">
        <v>1385</v>
      </c>
      <c r="AN47" s="183">
        <f>SUM(AN35:AN46)</f>
        <v>4807052569.1124897</v>
      </c>
      <c r="AO47" s="251"/>
      <c r="AP47" s="76" t="s">
        <v>805</v>
      </c>
      <c r="AQ47" s="691">
        <f>AE82</f>
        <v>6630548568.2489748</v>
      </c>
      <c r="AR47" s="76"/>
      <c r="AS47" s="691">
        <f>AQ47</f>
        <v>6630548568.2489748</v>
      </c>
      <c r="AT47" s="691">
        <f>BD31</f>
        <v>92042471679365.094</v>
      </c>
      <c r="AU47" s="76"/>
      <c r="AV47" s="736">
        <f>AT47*AV46</f>
        <v>920424716793.651</v>
      </c>
      <c r="AW47" s="76"/>
      <c r="AX47" s="208">
        <f>AV47/AS60</f>
        <v>36.36705659196226</v>
      </c>
      <c r="AY47" s="76"/>
      <c r="AZ47" s="76"/>
      <c r="BA47" s="76"/>
      <c r="BB47" s="332" t="s">
        <v>989</v>
      </c>
      <c r="BC47" s="953">
        <f t="shared" si="24"/>
        <v>2040</v>
      </c>
      <c r="BD47" s="691">
        <f t="shared" si="25"/>
        <v>136637566547508.3</v>
      </c>
      <c r="BE47" s="894">
        <f t="shared" si="26"/>
        <v>2.5000000000000001E-2</v>
      </c>
      <c r="BF47" s="691">
        <f t="shared" si="27"/>
        <v>3415939163687.7075</v>
      </c>
      <c r="BH47" s="76"/>
      <c r="BI47" s="953">
        <f t="shared" si="19"/>
        <v>2040</v>
      </c>
      <c r="BJ47" s="691">
        <f t="shared" si="22"/>
        <v>10737418.24</v>
      </c>
      <c r="BK47" s="987">
        <v>64</v>
      </c>
      <c r="BL47" s="875">
        <f t="shared" si="16"/>
        <v>687194767.36000001</v>
      </c>
      <c r="BM47" s="969"/>
      <c r="BN47" s="977"/>
      <c r="BO47" s="691">
        <f t="shared" si="17"/>
        <v>0</v>
      </c>
      <c r="BQ47" s="691">
        <f t="shared" si="7"/>
        <v>0</v>
      </c>
      <c r="BR47" s="691">
        <f t="shared" si="20"/>
        <v>10977936408.576</v>
      </c>
      <c r="BS47" s="894">
        <f t="shared" si="14"/>
        <v>0.125</v>
      </c>
      <c r="BT47" s="975">
        <f t="shared" si="11"/>
        <v>1372242051.072</v>
      </c>
      <c r="BU47" s="691">
        <f t="shared" si="13"/>
        <v>1364031369.8268316</v>
      </c>
      <c r="BV47" s="183">
        <f t="shared" si="21"/>
        <v>0</v>
      </c>
      <c r="BW47" s="949">
        <f t="shared" si="10"/>
        <v>2040</v>
      </c>
    </row>
    <row r="48" spans="1:75" ht="16.2" thickBot="1" x14ac:dyDescent="0.35">
      <c r="AM48" s="1150" t="s">
        <v>309</v>
      </c>
      <c r="AN48" s="182">
        <f>AN47*AN34</f>
        <v>28231414302.66053</v>
      </c>
      <c r="AR48" s="565" t="s">
        <v>894</v>
      </c>
      <c r="AS48" s="208">
        <f>AS32/AS47</f>
        <v>2.8170747039715982</v>
      </c>
      <c r="AT48" s="367"/>
      <c r="AV48" s="192">
        <f>AS60</f>
        <v>25309299213.31826</v>
      </c>
      <c r="AW48" s="193"/>
      <c r="AX48" s="1" t="s">
        <v>1339</v>
      </c>
      <c r="BB48" s="332" t="s">
        <v>989</v>
      </c>
      <c r="BC48" s="953">
        <f t="shared" si="24"/>
        <v>2041</v>
      </c>
      <c r="BD48" s="691">
        <f t="shared" si="25"/>
        <v>140053505711196</v>
      </c>
      <c r="BE48" s="894">
        <f t="shared" si="26"/>
        <v>2.5000000000000001E-2</v>
      </c>
      <c r="BF48" s="691">
        <f t="shared" si="27"/>
        <v>3501337642779.9004</v>
      </c>
      <c r="BH48" s="76"/>
      <c r="BI48" s="953">
        <f t="shared" si="19"/>
        <v>2041</v>
      </c>
      <c r="BJ48" s="691">
        <f t="shared" si="22"/>
        <v>10737418.24</v>
      </c>
      <c r="BK48" s="987">
        <v>64</v>
      </c>
      <c r="BL48" s="875">
        <f t="shared" si="16"/>
        <v>687194767.36000001</v>
      </c>
      <c r="BM48" s="969"/>
      <c r="BN48" s="977"/>
      <c r="BO48" s="691">
        <f t="shared" si="17"/>
        <v>0</v>
      </c>
      <c r="BQ48" s="691">
        <f t="shared" si="7"/>
        <v>0</v>
      </c>
      <c r="BR48" s="691">
        <f t="shared" si="20"/>
        <v>10977936408.576</v>
      </c>
      <c r="BS48" s="894">
        <f t="shared" si="14"/>
        <v>0.125</v>
      </c>
      <c r="BT48" s="975">
        <f t="shared" si="11"/>
        <v>1372242051.072</v>
      </c>
      <c r="BU48" s="691">
        <f t="shared" si="13"/>
        <v>1364031369.8268316</v>
      </c>
      <c r="BV48" s="183">
        <f t="shared" si="21"/>
        <v>0</v>
      </c>
      <c r="BW48" s="949">
        <f t="shared" si="10"/>
        <v>2041</v>
      </c>
    </row>
    <row r="49" spans="3:75" ht="16.2" thickBot="1" x14ac:dyDescent="0.35">
      <c r="C49" s="1" t="s">
        <v>801</v>
      </c>
      <c r="AM49" s="1150" t="s">
        <v>308</v>
      </c>
      <c r="AN49" s="182">
        <f>AN48*AO49</f>
        <v>18678750645.069286</v>
      </c>
      <c r="AO49" s="680">
        <v>0.66163000000000005</v>
      </c>
      <c r="AP49" s="1" t="s">
        <v>1275</v>
      </c>
      <c r="AR49" s="565" t="s">
        <v>888</v>
      </c>
      <c r="AS49" s="953">
        <v>8</v>
      </c>
      <c r="AT49" s="1" t="s">
        <v>889</v>
      </c>
      <c r="AX49" s="1" t="s">
        <v>1340</v>
      </c>
      <c r="BB49" s="332" t="s">
        <v>989</v>
      </c>
      <c r="BC49" s="953">
        <f t="shared" si="24"/>
        <v>2042</v>
      </c>
      <c r="BD49" s="691">
        <f t="shared" si="25"/>
        <v>143554843353975.91</v>
      </c>
      <c r="BE49" s="894">
        <f t="shared" si="26"/>
        <v>2.5000000000000001E-2</v>
      </c>
      <c r="BF49" s="691">
        <f t="shared" si="27"/>
        <v>3588871083849.3979</v>
      </c>
      <c r="BH49" s="76"/>
      <c r="BI49" s="953">
        <f t="shared" si="19"/>
        <v>2042</v>
      </c>
      <c r="BJ49" s="691">
        <f t="shared" si="22"/>
        <v>10737418.24</v>
      </c>
      <c r="BK49" s="987">
        <v>64</v>
      </c>
      <c r="BL49" s="875">
        <f t="shared" si="16"/>
        <v>687194767.36000001</v>
      </c>
      <c r="BM49" s="969"/>
      <c r="BN49" s="977">
        <v>8</v>
      </c>
      <c r="BO49" s="691">
        <f t="shared" si="17"/>
        <v>0</v>
      </c>
      <c r="BQ49" s="691">
        <f t="shared" si="7"/>
        <v>0</v>
      </c>
      <c r="BR49" s="691">
        <f t="shared" si="20"/>
        <v>5480378269.6960001</v>
      </c>
      <c r="BS49" s="894">
        <f t="shared" si="14"/>
        <v>0.125</v>
      </c>
      <c r="BT49" s="975">
        <f t="shared" si="11"/>
        <v>685047283.71200001</v>
      </c>
      <c r="BU49" s="691">
        <f t="shared" si="13"/>
        <v>1364031369.8268316</v>
      </c>
      <c r="BV49" s="183">
        <f t="shared" si="21"/>
        <v>5497558138.8800001</v>
      </c>
      <c r="BW49" s="949">
        <f t="shared" si="10"/>
        <v>2042</v>
      </c>
    </row>
    <row r="50" spans="3:75" x14ac:dyDescent="0.3">
      <c r="C50" s="13"/>
      <c r="D50" s="4"/>
      <c r="E50" s="120" t="s">
        <v>275</v>
      </c>
      <c r="F50" s="4"/>
      <c r="G50" s="173" t="s">
        <v>288</v>
      </c>
      <c r="H50" s="462" t="s">
        <v>1367</v>
      </c>
      <c r="I50" s="170" t="s">
        <v>1373</v>
      </c>
      <c r="J50" s="175" t="s">
        <v>297</v>
      </c>
      <c r="K50" s="170" t="s">
        <v>802</v>
      </c>
      <c r="AN50" s="239"/>
      <c r="AP50" s="1" t="s">
        <v>1276</v>
      </c>
      <c r="AR50" s="565" t="s">
        <v>890</v>
      </c>
      <c r="AS50" s="208">
        <f>AS48/AS49</f>
        <v>0.35213433799644978</v>
      </c>
      <c r="BB50" s="332" t="s">
        <v>989</v>
      </c>
      <c r="BC50" s="953">
        <f t="shared" si="24"/>
        <v>2043</v>
      </c>
      <c r="BD50" s="691">
        <f t="shared" si="25"/>
        <v>147143714437825.31</v>
      </c>
      <c r="BE50" s="894">
        <f t="shared" si="26"/>
        <v>2.5000000000000001E-2</v>
      </c>
      <c r="BF50" s="691">
        <f t="shared" si="27"/>
        <v>3678592860945.6328</v>
      </c>
      <c r="BH50" s="76"/>
      <c r="BI50" s="953">
        <f t="shared" si="19"/>
        <v>2043</v>
      </c>
      <c r="BJ50" s="691">
        <f t="shared" si="22"/>
        <v>10737418.24</v>
      </c>
      <c r="BK50" s="987">
        <v>64</v>
      </c>
      <c r="BL50" s="875">
        <f t="shared" si="16"/>
        <v>687194767.36000001</v>
      </c>
      <c r="BM50" s="969"/>
      <c r="BN50" s="977"/>
      <c r="BO50" s="691">
        <f t="shared" si="17"/>
        <v>0</v>
      </c>
      <c r="BQ50" s="691">
        <f t="shared" si="7"/>
        <v>0</v>
      </c>
      <c r="BR50" s="691">
        <f t="shared" si="20"/>
        <v>5480378269.6960001</v>
      </c>
      <c r="BS50" s="894">
        <f t="shared" si="14"/>
        <v>0.125</v>
      </c>
      <c r="BT50" s="975">
        <f t="shared" si="11"/>
        <v>685047283.71200001</v>
      </c>
      <c r="BU50" s="691">
        <f t="shared" si="13"/>
        <v>1364031369.8268316</v>
      </c>
      <c r="BV50" s="183">
        <f t="shared" si="21"/>
        <v>0</v>
      </c>
      <c r="BW50" s="949">
        <f t="shared" si="10"/>
        <v>2043</v>
      </c>
    </row>
    <row r="51" spans="3:75" x14ac:dyDescent="0.3">
      <c r="C51" s="122"/>
      <c r="D51" s="7"/>
      <c r="E51" s="875">
        <f>E8</f>
        <v>4807052569.1124897</v>
      </c>
      <c r="F51" s="7"/>
      <c r="G51" s="468" t="s">
        <v>1386</v>
      </c>
      <c r="H51" s="469"/>
      <c r="I51" s="470"/>
      <c r="J51" s="471"/>
      <c r="K51" s="470"/>
      <c r="AN51" s="277" t="s">
        <v>748</v>
      </c>
      <c r="AR51" s="239"/>
      <c r="AS51" s="76"/>
      <c r="BB51" s="332" t="s">
        <v>989</v>
      </c>
      <c r="BC51" s="953">
        <f t="shared" si="24"/>
        <v>2044</v>
      </c>
      <c r="BD51" s="691">
        <f t="shared" si="25"/>
        <v>150822307298770.94</v>
      </c>
      <c r="BE51" s="894">
        <f t="shared" si="26"/>
        <v>2.5000000000000001E-2</v>
      </c>
      <c r="BF51" s="691">
        <f t="shared" si="27"/>
        <v>3770557682469.2734</v>
      </c>
      <c r="BH51" s="76"/>
      <c r="BI51" s="953">
        <f t="shared" si="19"/>
        <v>2044</v>
      </c>
      <c r="BJ51" s="691">
        <f t="shared" si="22"/>
        <v>10737418.24</v>
      </c>
      <c r="BK51" s="987">
        <v>64</v>
      </c>
      <c r="BL51" s="875">
        <f t="shared" si="16"/>
        <v>687194767.36000001</v>
      </c>
      <c r="BM51" s="969"/>
      <c r="BN51" s="977"/>
      <c r="BO51" s="691">
        <f t="shared" si="17"/>
        <v>0</v>
      </c>
      <c r="BQ51" s="691">
        <f t="shared" si="7"/>
        <v>0</v>
      </c>
      <c r="BR51" s="691">
        <f t="shared" si="20"/>
        <v>5480378269.6960001</v>
      </c>
      <c r="BS51" s="894">
        <f t="shared" si="14"/>
        <v>0.125</v>
      </c>
      <c r="BT51" s="975">
        <f t="shared" si="11"/>
        <v>685047283.71200001</v>
      </c>
      <c r="BU51" s="691">
        <f t="shared" si="13"/>
        <v>1364031369.8268316</v>
      </c>
      <c r="BV51" s="183">
        <f t="shared" si="21"/>
        <v>0</v>
      </c>
      <c r="BW51" s="949">
        <f t="shared" si="10"/>
        <v>2044</v>
      </c>
    </row>
    <row r="52" spans="3:75" ht="16.2" thickBot="1" x14ac:dyDescent="0.35">
      <c r="C52" s="122"/>
      <c r="D52" s="7"/>
      <c r="E52" s="7"/>
      <c r="F52" s="127"/>
      <c r="G52" s="127" t="s">
        <v>280</v>
      </c>
      <c r="H52" s="7"/>
      <c r="I52" s="459" t="s">
        <v>282</v>
      </c>
      <c r="J52" s="122"/>
      <c r="K52" s="8"/>
      <c r="AN52" s="277" t="s">
        <v>747</v>
      </c>
      <c r="AP52" s="110" t="s">
        <v>746</v>
      </c>
      <c r="AR52" s="565" t="s">
        <v>891</v>
      </c>
      <c r="AS52" s="76"/>
      <c r="BB52" s="332" t="s">
        <v>989</v>
      </c>
      <c r="BC52" s="953">
        <f t="shared" si="24"/>
        <v>2045</v>
      </c>
      <c r="BD52" s="691">
        <f t="shared" si="25"/>
        <v>154592864981240.22</v>
      </c>
      <c r="BE52" s="894">
        <f t="shared" si="26"/>
        <v>2.5000000000000001E-2</v>
      </c>
      <c r="BF52" s="691">
        <f t="shared" si="27"/>
        <v>3864821624531.0059</v>
      </c>
      <c r="BH52" s="76"/>
      <c r="BI52" s="953">
        <f t="shared" si="19"/>
        <v>2045</v>
      </c>
      <c r="BJ52" s="691">
        <f t="shared" si="22"/>
        <v>10737418.24</v>
      </c>
      <c r="BK52" s="987">
        <v>64</v>
      </c>
      <c r="BL52" s="875">
        <f t="shared" si="16"/>
        <v>687194767.36000001</v>
      </c>
      <c r="BM52" s="969"/>
      <c r="BN52" s="977"/>
      <c r="BO52" s="691">
        <f t="shared" si="17"/>
        <v>0</v>
      </c>
      <c r="BQ52" s="691">
        <f t="shared" si="7"/>
        <v>0</v>
      </c>
      <c r="BR52" s="691">
        <f t="shared" si="20"/>
        <v>5480378269.6960001</v>
      </c>
      <c r="BS52" s="894">
        <f t="shared" si="14"/>
        <v>0.125</v>
      </c>
      <c r="BT52" s="975">
        <f t="shared" si="11"/>
        <v>685047283.71200001</v>
      </c>
      <c r="BU52" s="691">
        <f t="shared" si="13"/>
        <v>1364031369.8268316</v>
      </c>
      <c r="BV52" s="183">
        <f t="shared" si="21"/>
        <v>0</v>
      </c>
      <c r="BW52" s="949">
        <f t="shared" si="10"/>
        <v>2045</v>
      </c>
    </row>
    <row r="53" spans="3:75" ht="16.2" thickBot="1" x14ac:dyDescent="0.35">
      <c r="C53" s="122"/>
      <c r="D53" s="7"/>
      <c r="E53" s="7"/>
      <c r="F53" s="129">
        <v>0.25</v>
      </c>
      <c r="G53" s="130">
        <f>E57*F53</f>
        <v>66790028.385387532</v>
      </c>
      <c r="H53" s="460">
        <v>0.5</v>
      </c>
      <c r="I53" s="130">
        <f>G53*H53</f>
        <v>33395014.192693766</v>
      </c>
      <c r="J53" s="460">
        <v>0</v>
      </c>
      <c r="K53" s="458">
        <f>I53*J53</f>
        <v>0</v>
      </c>
      <c r="AL53" s="933">
        <f>AO53</f>
        <v>256</v>
      </c>
      <c r="AM53" s="927" t="s">
        <v>745</v>
      </c>
      <c r="AN53" s="578">
        <f>AP53*AO53</f>
        <v>5497558138.8800001</v>
      </c>
      <c r="AO53" s="934">
        <v>256</v>
      </c>
      <c r="AP53" s="578">
        <f>'POP Dimensions'!J15</f>
        <v>21474836.48</v>
      </c>
      <c r="AQ53" s="239"/>
      <c r="AR53" s="565" t="s">
        <v>901</v>
      </c>
      <c r="AS53" s="484">
        <v>0.17</v>
      </c>
      <c r="AT53" s="1" t="s">
        <v>895</v>
      </c>
      <c r="BB53" s="332" t="s">
        <v>989</v>
      </c>
      <c r="BC53" s="953">
        <f t="shared" si="24"/>
        <v>2046</v>
      </c>
      <c r="BD53" s="691">
        <f t="shared" si="25"/>
        <v>158457686605771.22</v>
      </c>
      <c r="BE53" s="894">
        <f t="shared" si="26"/>
        <v>2.5000000000000001E-2</v>
      </c>
      <c r="BF53" s="691">
        <f t="shared" si="27"/>
        <v>3961442165144.2808</v>
      </c>
      <c r="BH53" s="76"/>
      <c r="BI53" s="953">
        <f t="shared" si="19"/>
        <v>2046</v>
      </c>
      <c r="BJ53" s="691">
        <f t="shared" si="22"/>
        <v>10737418.24</v>
      </c>
      <c r="BK53" s="987">
        <v>64</v>
      </c>
      <c r="BL53" s="875">
        <f t="shared" si="16"/>
        <v>687194767.36000001</v>
      </c>
      <c r="BM53" s="969"/>
      <c r="BN53" s="977"/>
      <c r="BO53" s="691">
        <f t="shared" si="17"/>
        <v>0</v>
      </c>
      <c r="BQ53" s="691">
        <f t="shared" si="7"/>
        <v>0</v>
      </c>
      <c r="BR53" s="691">
        <f t="shared" si="20"/>
        <v>5480378269.6960001</v>
      </c>
      <c r="BS53" s="894">
        <f t="shared" si="14"/>
        <v>0.125</v>
      </c>
      <c r="BT53" s="975">
        <f t="shared" si="11"/>
        <v>685047283.71200001</v>
      </c>
      <c r="BU53" s="691">
        <f t="shared" si="13"/>
        <v>1364031369.8268316</v>
      </c>
      <c r="BV53" s="183">
        <f t="shared" si="21"/>
        <v>0</v>
      </c>
      <c r="BW53" s="949">
        <f t="shared" si="10"/>
        <v>2046</v>
      </c>
    </row>
    <row r="54" spans="3:75" ht="16.2" thickBot="1" x14ac:dyDescent="0.35">
      <c r="C54" s="122"/>
      <c r="D54" s="7"/>
      <c r="E54" s="7"/>
      <c r="F54" s="133"/>
      <c r="G54" s="134" t="s">
        <v>290</v>
      </c>
      <c r="H54" s="7"/>
      <c r="I54" s="457" t="s">
        <v>283</v>
      </c>
      <c r="J54" s="122"/>
      <c r="K54" s="8"/>
      <c r="AL54" s="927"/>
      <c r="AN54" s="999" t="s">
        <v>1355</v>
      </c>
      <c r="AO54" s="254"/>
      <c r="AP54" s="248" t="s">
        <v>1290</v>
      </c>
      <c r="AR54" s="566"/>
      <c r="AS54" s="76"/>
      <c r="BB54" s="332" t="s">
        <v>989</v>
      </c>
      <c r="BC54" s="953">
        <f t="shared" si="24"/>
        <v>2047</v>
      </c>
      <c r="BD54" s="691">
        <f t="shared" si="25"/>
        <v>162419128770915.5</v>
      </c>
      <c r="BE54" s="894">
        <f t="shared" si="26"/>
        <v>2.5000000000000001E-2</v>
      </c>
      <c r="BF54" s="691">
        <f t="shared" si="27"/>
        <v>4060478219272.8877</v>
      </c>
      <c r="BH54" s="76"/>
      <c r="BI54" s="953">
        <f t="shared" si="19"/>
        <v>2047</v>
      </c>
      <c r="BJ54" s="691">
        <f t="shared" si="22"/>
        <v>10737418.24</v>
      </c>
      <c r="BK54" s="987">
        <v>64</v>
      </c>
      <c r="BL54" s="875">
        <f t="shared" si="16"/>
        <v>687194767.36000001</v>
      </c>
      <c r="BM54" s="969"/>
      <c r="BN54" s="977"/>
      <c r="BO54" s="691">
        <f t="shared" si="17"/>
        <v>0</v>
      </c>
      <c r="BQ54" s="691">
        <f t="shared" si="7"/>
        <v>0</v>
      </c>
      <c r="BR54" s="691">
        <f t="shared" si="20"/>
        <v>5480378269.6960001</v>
      </c>
      <c r="BS54" s="894">
        <f t="shared" si="14"/>
        <v>0.125</v>
      </c>
      <c r="BT54" s="975">
        <f t="shared" si="11"/>
        <v>685047283.71200001</v>
      </c>
      <c r="BU54" s="691">
        <f t="shared" si="13"/>
        <v>1364031369.8268316</v>
      </c>
      <c r="BV54" s="183">
        <f t="shared" si="21"/>
        <v>0</v>
      </c>
      <c r="BW54" s="949">
        <f t="shared" si="10"/>
        <v>2047</v>
      </c>
    </row>
    <row r="55" spans="3:75" ht="16.2" thickBot="1" x14ac:dyDescent="0.35">
      <c r="C55" s="122"/>
      <c r="D55" s="7"/>
      <c r="E55" s="7"/>
      <c r="F55" s="133">
        <v>0.25</v>
      </c>
      <c r="G55" s="135">
        <f>E57*F55</f>
        <v>66790028.385387532</v>
      </c>
      <c r="H55" s="461">
        <v>0.9</v>
      </c>
      <c r="I55" s="135">
        <f>G55*H55</f>
        <v>60111025.546848781</v>
      </c>
      <c r="J55" s="461">
        <v>0</v>
      </c>
      <c r="K55" s="440">
        <f>I55*J55</f>
        <v>0</v>
      </c>
      <c r="AL55" s="239"/>
      <c r="AN55" s="1002" t="s">
        <v>867</v>
      </c>
      <c r="AO55" s="254"/>
      <c r="AP55" s="253"/>
      <c r="AR55" s="239"/>
      <c r="AS55" s="484">
        <v>0.17</v>
      </c>
      <c r="AT55" s="32">
        <f>AS55</f>
        <v>0.17</v>
      </c>
      <c r="BB55" s="332" t="s">
        <v>989</v>
      </c>
      <c r="BC55" s="953">
        <f t="shared" si="24"/>
        <v>2048</v>
      </c>
      <c r="BD55" s="691">
        <f t="shared" si="25"/>
        <v>166479606990188.38</v>
      </c>
      <c r="BE55" s="894">
        <f t="shared" si="26"/>
        <v>2.5000000000000001E-2</v>
      </c>
      <c r="BF55" s="691">
        <f t="shared" si="27"/>
        <v>4161990174754.7095</v>
      </c>
      <c r="BG55" s="895" t="s">
        <v>1280</v>
      </c>
      <c r="BH55" s="76"/>
      <c r="BI55" s="953">
        <f t="shared" si="19"/>
        <v>2048</v>
      </c>
      <c r="BJ55" s="691">
        <f t="shared" si="22"/>
        <v>10737418.24</v>
      </c>
      <c r="BK55" s="987">
        <v>64</v>
      </c>
      <c r="BL55" s="875">
        <f t="shared" si="16"/>
        <v>687194767.36000001</v>
      </c>
      <c r="BM55" s="969"/>
      <c r="BN55" s="977"/>
      <c r="BO55" s="691">
        <f t="shared" si="17"/>
        <v>0</v>
      </c>
      <c r="BQ55" s="691">
        <f t="shared" si="7"/>
        <v>0</v>
      </c>
      <c r="BR55" s="691">
        <f t="shared" si="20"/>
        <v>5480378269.6960001</v>
      </c>
      <c r="BS55" s="894">
        <f t="shared" si="14"/>
        <v>0.125</v>
      </c>
      <c r="BT55" s="975">
        <f t="shared" si="11"/>
        <v>685047283.71200001</v>
      </c>
      <c r="BU55" s="691">
        <f t="shared" si="13"/>
        <v>1364031369.8268316</v>
      </c>
      <c r="BV55" s="183">
        <f t="shared" si="21"/>
        <v>0</v>
      </c>
      <c r="BW55" s="949">
        <f t="shared" si="10"/>
        <v>2048</v>
      </c>
    </row>
    <row r="56" spans="3:75" ht="18.600000000000001" thickBot="1" x14ac:dyDescent="0.4">
      <c r="C56" s="122"/>
      <c r="D56" s="7"/>
      <c r="E56" s="7"/>
      <c r="F56" s="136"/>
      <c r="G56" s="136" t="s">
        <v>279</v>
      </c>
      <c r="H56" s="7"/>
      <c r="I56" s="451" t="s">
        <v>284</v>
      </c>
      <c r="J56" s="122"/>
      <c r="K56" s="8"/>
      <c r="S56" s="88"/>
      <c r="AL56" s="239"/>
      <c r="AN56" s="719">
        <f>AN48-AN53</f>
        <v>22733856163.780529</v>
      </c>
      <c r="AO56" s="253"/>
      <c r="AP56" s="253"/>
      <c r="AQ56" s="253"/>
      <c r="AR56" s="239" t="s">
        <v>892</v>
      </c>
      <c r="AS56" s="615">
        <f>AT58</f>
        <v>2.0713784588026454</v>
      </c>
      <c r="AT56" s="569" t="s">
        <v>980</v>
      </c>
      <c r="AU56" s="569"/>
      <c r="AV56" s="181"/>
      <c r="AW56" s="181"/>
      <c r="AX56" s="252"/>
      <c r="AY56" s="252"/>
      <c r="AZ56" s="252"/>
      <c r="BA56" s="252"/>
      <c r="BG56" s="1"/>
      <c r="BM56" s="979">
        <f>SUM(BM22:BM55)</f>
        <v>15.975</v>
      </c>
      <c r="BN56" s="979">
        <f>SUM(BN22:BN55)</f>
        <v>8</v>
      </c>
    </row>
    <row r="57" spans="3:75" ht="16.8" thickTop="1" thickBot="1" x14ac:dyDescent="0.35">
      <c r="C57" s="137" t="s">
        <v>291</v>
      </c>
      <c r="D57" s="138">
        <f>E57/E51</f>
        <v>5.5576698964803502E-2</v>
      </c>
      <c r="E57" s="139">
        <f>E14</f>
        <v>267160113.54155013</v>
      </c>
      <c r="F57" s="140">
        <v>0.5</v>
      </c>
      <c r="G57" s="139">
        <f>E57*F57</f>
        <v>133580056.77077506</v>
      </c>
      <c r="H57" s="463">
        <v>0.95</v>
      </c>
      <c r="I57" s="139">
        <f>G57*H57</f>
        <v>126901053.9322363</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48"/>
      <c r="AM57" s="937" t="s">
        <v>1293</v>
      </c>
      <c r="AN57" s="1003"/>
      <c r="AO57" s="253"/>
      <c r="AP57" s="877" t="s">
        <v>1293</v>
      </c>
      <c r="AQ57" s="252"/>
      <c r="AR57" s="239"/>
      <c r="AS57" s="208">
        <f>AS50</f>
        <v>0.35213433799644978</v>
      </c>
      <c r="AT57" s="80">
        <f>AS57</f>
        <v>0.35213433799644978</v>
      </c>
      <c r="BQ57" s="77" t="s">
        <v>966</v>
      </c>
      <c r="BR57" s="77"/>
      <c r="BS57" s="77" t="s">
        <v>965</v>
      </c>
      <c r="BT57" s="77"/>
      <c r="BU57" s="77"/>
    </row>
    <row r="58" spans="3:75"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7" t="s">
        <v>1294</v>
      </c>
      <c r="AN58" s="996">
        <f>AN56*AO58</f>
        <v>1364031369.8268316</v>
      </c>
      <c r="AO58" s="923">
        <v>0.06</v>
      </c>
      <c r="AP58" s="924" t="s">
        <v>1443</v>
      </c>
      <c r="AQ58" s="925"/>
      <c r="AR58" s="239"/>
      <c r="AS58" s="76"/>
      <c r="AT58" s="1">
        <f>AT57/AT55</f>
        <v>2.0713784588026454</v>
      </c>
      <c r="BQ58" s="77" t="s">
        <v>785</v>
      </c>
      <c r="BR58" s="77"/>
      <c r="BS58" s="77" t="s">
        <v>962</v>
      </c>
      <c r="BT58" s="77"/>
      <c r="BU58" s="77"/>
    </row>
    <row r="59" spans="3:75"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76"/>
      <c r="AK59" s="410"/>
      <c r="AL59" s="928"/>
      <c r="AM59" s="948" t="s">
        <v>1295</v>
      </c>
      <c r="AN59" s="911">
        <f>AN56*AO59</f>
        <v>1136692808.1890266</v>
      </c>
      <c r="AO59" s="912">
        <v>0.05</v>
      </c>
      <c r="AP59" s="875" t="s">
        <v>1162</v>
      </c>
      <c r="AQ59" s="126"/>
      <c r="AR59" s="239"/>
      <c r="AS59" s="76"/>
      <c r="AX59" s="32"/>
    </row>
    <row r="60" spans="3:75" ht="16.2" thickBot="1" x14ac:dyDescent="0.35">
      <c r="C60" s="397" t="s">
        <v>276</v>
      </c>
      <c r="D60" s="398">
        <f>100%-D57-D63</f>
        <v>0.78125</v>
      </c>
      <c r="E60" s="399">
        <f>E51*D60</f>
        <v>3755509819.6191325</v>
      </c>
      <c r="F60" s="400">
        <v>1</v>
      </c>
      <c r="G60" s="399">
        <f>E60*F60</f>
        <v>3755509819.6191325</v>
      </c>
      <c r="H60" s="464">
        <v>0.9</v>
      </c>
      <c r="I60" s="399">
        <f>G60*H60</f>
        <v>3379958837.6572194</v>
      </c>
      <c r="J60" s="464">
        <v>0</v>
      </c>
      <c r="K60" s="453">
        <f>I60*J60</f>
        <v>0</v>
      </c>
      <c r="S60" s="88"/>
      <c r="Y60" s="238"/>
      <c r="Z60" s="238"/>
      <c r="AA60" s="238"/>
      <c r="AB60" s="238"/>
      <c r="AC60" s="238"/>
      <c r="AD60" s="238"/>
      <c r="AE60" s="238"/>
      <c r="AF60" s="238"/>
      <c r="AG60" s="238"/>
      <c r="AH60" s="238"/>
      <c r="AI60" s="238"/>
      <c r="AJ60" s="76"/>
      <c r="AK60" s="76"/>
      <c r="AL60" s="239"/>
      <c r="AM60" s="948" t="s">
        <v>1296</v>
      </c>
      <c r="AN60" s="911">
        <f>AN56*AO60</f>
        <v>909354246.55122113</v>
      </c>
      <c r="AO60" s="912">
        <v>0.04</v>
      </c>
      <c r="AP60" s="875" t="s">
        <v>1441</v>
      </c>
      <c r="AQ60" s="126"/>
      <c r="AR60" s="239"/>
      <c r="AS60" s="691">
        <f>AS32+AS47</f>
        <v>25309299213.31826</v>
      </c>
      <c r="AT60" s="1" t="s">
        <v>958</v>
      </c>
      <c r="BG60" s="1"/>
      <c r="BK60" s="1"/>
      <c r="BV60" s="1"/>
      <c r="BW60" s="1"/>
    </row>
    <row r="61" spans="3:75" x14ac:dyDescent="0.3">
      <c r="C61" s="403"/>
      <c r="D61" s="118"/>
      <c r="E61" s="837"/>
      <c r="F61" s="7"/>
      <c r="G61" s="7"/>
      <c r="H61" s="7"/>
      <c r="I61" s="8"/>
      <c r="J61" s="122"/>
      <c r="K61" s="8"/>
      <c r="S61" s="88"/>
      <c r="Y61" s="238"/>
      <c r="Z61" s="238"/>
      <c r="AA61" s="238"/>
      <c r="AB61" s="238"/>
      <c r="AC61" s="238"/>
      <c r="AD61" s="238"/>
      <c r="AE61" s="238"/>
      <c r="AF61" s="238"/>
      <c r="AG61" s="238"/>
      <c r="AH61" s="238"/>
      <c r="AI61" s="238"/>
      <c r="AJ61" s="76"/>
      <c r="AK61" s="410"/>
      <c r="AL61" s="927"/>
      <c r="AM61" s="948" t="s">
        <v>1297</v>
      </c>
      <c r="AN61" s="911">
        <f>AN56*AO61</f>
        <v>1364031369.8268316</v>
      </c>
      <c r="AO61" s="912">
        <v>0.06</v>
      </c>
      <c r="AP61" s="875" t="s">
        <v>1303</v>
      </c>
      <c r="AQ61" s="126"/>
      <c r="AR61" s="253"/>
      <c r="AS61" s="647">
        <f>AS60/AS47</f>
        <v>3.8170747039715982</v>
      </c>
    </row>
    <row r="62" spans="3:75"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76"/>
      <c r="AK62" s="76"/>
      <c r="AL62" s="239"/>
      <c r="AM62" s="948" t="s">
        <v>1300</v>
      </c>
      <c r="AN62" s="911">
        <f>AN56*AO62</f>
        <v>1364031369.8268316</v>
      </c>
      <c r="AO62" s="912">
        <v>0.06</v>
      </c>
      <c r="AP62" s="410" t="s">
        <v>1442</v>
      </c>
      <c r="AQ62" s="126"/>
      <c r="AR62" s="253"/>
    </row>
    <row r="63" spans="3:75" ht="16.2" thickBot="1" x14ac:dyDescent="0.35">
      <c r="C63" s="149" t="s">
        <v>737</v>
      </c>
      <c r="D63" s="150">
        <f>E63/E51</f>
        <v>0.16317330103519651</v>
      </c>
      <c r="E63" s="151">
        <f>E21</f>
        <v>784382635.95180702</v>
      </c>
      <c r="F63" s="152">
        <v>0.3</v>
      </c>
      <c r="G63" s="151">
        <f>E63*F63</f>
        <v>235314790.7855421</v>
      </c>
      <c r="H63" s="465">
        <v>0.9</v>
      </c>
      <c r="I63" s="151">
        <f>G63*H63</f>
        <v>211783311.70698789</v>
      </c>
      <c r="J63" s="465">
        <v>0</v>
      </c>
      <c r="K63" s="444">
        <f>I63*J63</f>
        <v>0</v>
      </c>
      <c r="S63" s="88"/>
      <c r="Y63" s="238"/>
      <c r="Z63" s="238"/>
      <c r="AA63" s="238"/>
      <c r="AB63" s="238"/>
      <c r="AC63" s="238"/>
      <c r="AD63" s="238"/>
      <c r="AE63" s="238"/>
      <c r="AF63" s="238"/>
      <c r="AG63" s="238"/>
      <c r="AH63" s="238"/>
      <c r="AI63" s="926"/>
      <c r="AJ63" s="410"/>
      <c r="AK63" s="410"/>
      <c r="AL63" s="927"/>
      <c r="AM63" s="948" t="s">
        <v>1305</v>
      </c>
      <c r="AN63" s="911">
        <f>AN56*AO63</f>
        <v>3182739862.9292746</v>
      </c>
      <c r="AO63" s="912">
        <v>0.14000000000000001</v>
      </c>
      <c r="AP63" s="410" t="s">
        <v>148</v>
      </c>
      <c r="AQ63" s="126"/>
      <c r="AR63" s="253"/>
    </row>
    <row r="64" spans="3:75" ht="16.2" thickBot="1" x14ac:dyDescent="0.35">
      <c r="C64" s="141"/>
      <c r="D64" s="429"/>
      <c r="E64" s="371"/>
      <c r="F64" s="430"/>
      <c r="G64" s="432" t="s">
        <v>738</v>
      </c>
      <c r="H64" s="142"/>
      <c r="I64" s="449" t="s">
        <v>738</v>
      </c>
      <c r="J64" s="433"/>
      <c r="K64" s="434"/>
      <c r="S64" s="88"/>
      <c r="Y64" s="238"/>
      <c r="AE64" s="252"/>
      <c r="AG64" s="88"/>
      <c r="AI64" s="106"/>
      <c r="AJ64" s="964"/>
      <c r="AK64" s="106"/>
      <c r="AL64" s="929"/>
      <c r="AM64" s="938"/>
      <c r="AN64" s="1004"/>
      <c r="AO64" s="1005"/>
      <c r="AP64" s="1005"/>
      <c r="AQ64" s="903"/>
      <c r="AR64" s="253"/>
    </row>
    <row r="65" spans="3:75" ht="16.2" thickBot="1" x14ac:dyDescent="0.35">
      <c r="C65" s="141"/>
      <c r="D65" s="429"/>
      <c r="E65" s="371"/>
      <c r="F65" s="430">
        <v>0.25</v>
      </c>
      <c r="G65" s="432">
        <f>E63*F65</f>
        <v>196095658.98795176</v>
      </c>
      <c r="H65" s="466">
        <v>0.95</v>
      </c>
      <c r="I65" s="432">
        <f>G65*H65</f>
        <v>186290876.03855416</v>
      </c>
      <c r="J65" s="466">
        <v>0</v>
      </c>
      <c r="K65" s="449">
        <f>I65*J65</f>
        <v>0</v>
      </c>
      <c r="S65" s="88"/>
      <c r="Y65" s="238"/>
      <c r="AE65" s="252"/>
      <c r="AG65" s="88"/>
      <c r="AI65" s="106"/>
      <c r="AJ65" s="964"/>
      <c r="AK65" s="106"/>
      <c r="AL65" s="927"/>
      <c r="AM65" s="939" t="s">
        <v>1299</v>
      </c>
      <c r="AN65" s="1006">
        <f>AN53</f>
        <v>5497558138.8800001</v>
      </c>
      <c r="AO65" s="935">
        <f>AN65/AN56</f>
        <v>0.24182250909279013</v>
      </c>
      <c r="AP65" s="898" t="s">
        <v>1311</v>
      </c>
      <c r="AQ65" s="905"/>
      <c r="AR65" s="253"/>
    </row>
    <row r="66" spans="3:75" ht="16.2" thickBot="1" x14ac:dyDescent="0.35">
      <c r="C66" s="122"/>
      <c r="D66" s="94">
        <f>SUM(D57:D63)</f>
        <v>1</v>
      </c>
      <c r="E66" s="7"/>
      <c r="F66" s="153"/>
      <c r="G66" s="154" t="s">
        <v>293</v>
      </c>
      <c r="H66" s="7"/>
      <c r="I66" s="448" t="s">
        <v>294</v>
      </c>
      <c r="J66" s="122"/>
      <c r="K66" s="8"/>
      <c r="S66" s="88"/>
      <c r="W66" s="77" t="s">
        <v>805</v>
      </c>
      <c r="Y66" s="238"/>
      <c r="AA66" s="576"/>
      <c r="AB66" s="88"/>
      <c r="AD66" s="88"/>
      <c r="AE66" s="252"/>
      <c r="AG66" s="88"/>
      <c r="AH66" s="88"/>
      <c r="AI66" s="106"/>
      <c r="AJ66" s="964"/>
      <c r="AK66" s="106"/>
      <c r="AL66" s="106"/>
      <c r="AM66" s="940" t="s">
        <v>1325</v>
      </c>
      <c r="AN66" s="930">
        <f>AN56*AO66</f>
        <v>113669280.81890264</v>
      </c>
      <c r="AO66" s="931">
        <v>5.0000000000000001E-3</v>
      </c>
      <c r="AP66" s="898" t="s">
        <v>1315</v>
      </c>
      <c r="AQ66" s="905"/>
      <c r="AR66" s="946">
        <v>272</v>
      </c>
      <c r="AS66" s="181" t="s">
        <v>1314</v>
      </c>
    </row>
    <row r="67" spans="3:75" ht="16.2" thickBot="1" x14ac:dyDescent="0.35">
      <c r="C67" s="122"/>
      <c r="D67" s="7"/>
      <c r="E67" s="7"/>
      <c r="F67" s="153">
        <v>0.2</v>
      </c>
      <c r="G67" s="99">
        <f>E63*F67</f>
        <v>156876527.19036141</v>
      </c>
      <c r="H67" s="467">
        <v>0.9</v>
      </c>
      <c r="I67" s="99">
        <f>G67*H67</f>
        <v>141188874.47132528</v>
      </c>
      <c r="J67" s="467">
        <v>0</v>
      </c>
      <c r="K67" s="443">
        <f>I67*J67</f>
        <v>0</v>
      </c>
      <c r="S67" s="88"/>
      <c r="W67" s="949">
        <v>2024</v>
      </c>
      <c r="Y67" s="76"/>
      <c r="AA67" s="952"/>
      <c r="AB67" s="252"/>
      <c r="AD67" s="252"/>
      <c r="AE67" s="252"/>
      <c r="AG67" s="88"/>
      <c r="AI67" s="106"/>
      <c r="AJ67" s="964"/>
      <c r="AK67" s="106"/>
      <c r="AL67" s="106"/>
      <c r="AM67" s="940" t="s">
        <v>1307</v>
      </c>
      <c r="AN67" s="930">
        <f>AN56*AO67</f>
        <v>682015684.91341579</v>
      </c>
      <c r="AO67" s="931">
        <v>0.03</v>
      </c>
      <c r="AP67" s="898" t="s">
        <v>1323</v>
      </c>
      <c r="AQ67" s="905"/>
      <c r="AR67" s="945">
        <v>100</v>
      </c>
      <c r="AS67" s="938">
        <f>AR66*AR67</f>
        <v>27200</v>
      </c>
      <c r="AT67" s="1" t="s">
        <v>1316</v>
      </c>
    </row>
    <row r="68" spans="3:75" ht="16.2" thickBot="1" x14ac:dyDescent="0.35">
      <c r="C68" s="122"/>
      <c r="D68" s="7"/>
      <c r="E68" s="7"/>
      <c r="F68" s="445"/>
      <c r="G68" s="445" t="s">
        <v>733</v>
      </c>
      <c r="H68" s="7"/>
      <c r="I68" s="452" t="s">
        <v>733</v>
      </c>
      <c r="J68" s="122"/>
      <c r="K68" s="8"/>
      <c r="R68" s="38"/>
      <c r="S68" s="582"/>
      <c r="W68" s="77" t="s">
        <v>672</v>
      </c>
      <c r="Y68" s="238"/>
      <c r="AA68" s="576"/>
      <c r="AB68" s="88"/>
      <c r="AD68" s="88"/>
      <c r="AE68" s="252"/>
      <c r="AG68" s="88"/>
      <c r="AH68" s="88"/>
      <c r="AI68" s="106"/>
      <c r="AJ68" s="964"/>
      <c r="AK68" s="106"/>
      <c r="AL68" s="251"/>
      <c r="AM68" s="940" t="s">
        <v>1308</v>
      </c>
      <c r="AN68" s="930">
        <f>AN56*AO68</f>
        <v>682015684.91341579</v>
      </c>
      <c r="AO68" s="931">
        <v>0.03</v>
      </c>
      <c r="AP68" s="898" t="s">
        <v>1438</v>
      </c>
      <c r="AQ68" s="905"/>
      <c r="AR68" s="600"/>
      <c r="AS68" s="1">
        <v>1000</v>
      </c>
      <c r="AT68" s="1" t="s">
        <v>226</v>
      </c>
    </row>
    <row r="69" spans="3:75" ht="16.2" thickBot="1" x14ac:dyDescent="0.35">
      <c r="C69" s="122"/>
      <c r="D69" s="7"/>
      <c r="E69" s="7"/>
      <c r="F69" s="438">
        <v>0.2</v>
      </c>
      <c r="G69" s="446">
        <f>E63*F69</f>
        <v>156876527.19036141</v>
      </c>
      <c r="H69" s="447">
        <v>0.25</v>
      </c>
      <c r="I69" s="446">
        <f>G69*H69</f>
        <v>39219131.797590353</v>
      </c>
      <c r="J69" s="447">
        <v>0</v>
      </c>
      <c r="K69" s="439">
        <f>I69*J69</f>
        <v>0</v>
      </c>
      <c r="Q69" s="240" t="s">
        <v>952</v>
      </c>
      <c r="S69" s="88"/>
      <c r="W69" s="691">
        <f>AQ47</f>
        <v>6630548568.2489748</v>
      </c>
      <c r="Y69" s="238"/>
      <c r="AA69" s="952"/>
      <c r="AB69" s="88"/>
      <c r="AD69" s="88"/>
      <c r="AE69" s="252"/>
      <c r="AF69" s="88"/>
      <c r="AG69" s="88"/>
      <c r="AH69" s="88"/>
      <c r="AI69" s="88"/>
      <c r="AJ69" s="958"/>
      <c r="AK69" s="88"/>
      <c r="AL69" s="88"/>
      <c r="AM69" s="940" t="s">
        <v>1317</v>
      </c>
      <c r="AN69" s="930">
        <f>AN56*AO69</f>
        <v>454677123.27561057</v>
      </c>
      <c r="AO69" s="931">
        <v>0.02</v>
      </c>
      <c r="AP69" s="898" t="s">
        <v>1356</v>
      </c>
      <c r="AQ69" s="905"/>
      <c r="AR69" s="601"/>
      <c r="AS69" s="1">
        <f>AS67*AS68</f>
        <v>27200000</v>
      </c>
      <c r="AT69" s="1" t="s">
        <v>1320</v>
      </c>
    </row>
    <row r="70" spans="3:75" x14ac:dyDescent="0.3">
      <c r="C70" s="122"/>
      <c r="D70" s="7"/>
      <c r="E70" s="7"/>
      <c r="F70" s="142"/>
      <c r="G70" s="371"/>
      <c r="H70" s="142"/>
      <c r="I70" s="434"/>
      <c r="J70" s="142"/>
      <c r="K70" s="434"/>
      <c r="L70" s="240" t="s">
        <v>1367</v>
      </c>
      <c r="O70" s="240" t="s">
        <v>803</v>
      </c>
      <c r="Q70" s="951">
        <f>O72</f>
        <v>256</v>
      </c>
      <c r="S70" s="248" t="s">
        <v>367</v>
      </c>
      <c r="U70" s="77" t="s">
        <v>1328</v>
      </c>
      <c r="W70" s="77" t="s">
        <v>806</v>
      </c>
      <c r="Y70" s="238"/>
      <c r="AA70" s="88"/>
      <c r="AB70" s="88"/>
      <c r="AD70" s="88"/>
      <c r="AE70" s="252"/>
      <c r="AF70" s="88"/>
      <c r="AG70" s="88"/>
      <c r="AH70" s="88"/>
      <c r="AI70" s="88"/>
      <c r="AJ70" s="958"/>
      <c r="AK70" s="88"/>
      <c r="AL70" s="88"/>
      <c r="AM70" s="940" t="s">
        <v>1318</v>
      </c>
      <c r="AN70" s="930">
        <f>AN56*AO70</f>
        <v>454677123.27561057</v>
      </c>
      <c r="AO70" s="931">
        <v>0.02</v>
      </c>
      <c r="AP70" s="898" t="s">
        <v>1357</v>
      </c>
      <c r="AQ70" s="905"/>
      <c r="AR70" s="600"/>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55">
        <f>AO53</f>
        <v>256</v>
      </c>
      <c r="U71" s="77" t="s">
        <v>804</v>
      </c>
      <c r="V71" s="947"/>
      <c r="W71" s="319">
        <v>0.3</v>
      </c>
      <c r="Y71" s="76" t="s">
        <v>893</v>
      </c>
      <c r="Z71" s="76"/>
      <c r="AA71" s="77" t="s">
        <v>1332</v>
      </c>
      <c r="AB71" s="88"/>
      <c r="AE71" s="958"/>
      <c r="AF71" s="644" t="s">
        <v>986</v>
      </c>
      <c r="AG71" s="958"/>
      <c r="AH71" s="88"/>
      <c r="AI71" s="88"/>
      <c r="AJ71" s="958"/>
      <c r="AK71" s="88"/>
      <c r="AL71" s="88"/>
      <c r="AM71" s="940" t="s">
        <v>1319</v>
      </c>
      <c r="AN71" s="930">
        <f>AN56*AO71</f>
        <v>454677123.27561057</v>
      </c>
      <c r="AO71" s="931">
        <v>0.02</v>
      </c>
      <c r="AP71" s="898" t="s">
        <v>1358</v>
      </c>
      <c r="AQ71" s="905"/>
      <c r="AR71" s="936"/>
    </row>
    <row r="72" spans="3:75" x14ac:dyDescent="0.3">
      <c r="C72" s="158"/>
      <c r="D72" s="10"/>
      <c r="E72" s="10"/>
      <c r="F72" s="10"/>
      <c r="G72" s="159">
        <f>SUM(G53:G71)</f>
        <v>4767833437.3148985</v>
      </c>
      <c r="H72" s="160"/>
      <c r="I72" s="172">
        <f>SUM(I53:I71)</f>
        <v>4178848125.3434558</v>
      </c>
      <c r="J72" s="158"/>
      <c r="K72" s="481">
        <f>SUM(K53:K71)</f>
        <v>0</v>
      </c>
      <c r="L72" s="482">
        <f>AN34</f>
        <v>5.8729156581436772</v>
      </c>
      <c r="M72" s="480">
        <f>K72*L72</f>
        <v>0</v>
      </c>
      <c r="N72" s="239"/>
      <c r="O72" s="950">
        <f>AO53</f>
        <v>256</v>
      </c>
      <c r="P72" s="239"/>
      <c r="Q72" s="480">
        <f>M72*O72</f>
        <v>0</v>
      </c>
      <c r="R72" s="239"/>
      <c r="S72" s="956">
        <f>M72*S71</f>
        <v>0</v>
      </c>
      <c r="T72" s="239"/>
      <c r="U72" s="910">
        <f>Q72+S72</f>
        <v>0</v>
      </c>
      <c r="V72" s="949" t="s">
        <v>1330</v>
      </c>
      <c r="W72" s="910">
        <f>W69*W71</f>
        <v>1989164570.4746923</v>
      </c>
      <c r="X72" s="949" t="s">
        <v>1330</v>
      </c>
      <c r="Y72" s="910">
        <f>AN59+AN60+AN61+AN62+AN63</f>
        <v>7956849657.3231859</v>
      </c>
      <c r="Z72" s="949" t="s">
        <v>1331</v>
      </c>
      <c r="AA72" s="910">
        <f>U72+W72+Y72</f>
        <v>9946014227.7978783</v>
      </c>
      <c r="AB72" s="238"/>
      <c r="AC72" s="238"/>
      <c r="AD72" s="961"/>
      <c r="AE72" s="644" t="s">
        <v>805</v>
      </c>
      <c r="AF72" s="958"/>
      <c r="AG72" s="644" t="s">
        <v>987</v>
      </c>
      <c r="AH72" s="958"/>
      <c r="AI72" s="181"/>
      <c r="AJ72" s="958"/>
      <c r="AK72" s="88"/>
      <c r="AL72" s="88"/>
      <c r="AM72" s="940" t="s">
        <v>1312</v>
      </c>
      <c r="AN72" s="930">
        <f>AN56*AO72</f>
        <v>454677123.27561057</v>
      </c>
      <c r="AO72" s="931">
        <v>0.02</v>
      </c>
      <c r="AP72" s="898" t="s">
        <v>1359</v>
      </c>
      <c r="AQ72" s="905"/>
      <c r="AR72" s="812"/>
    </row>
    <row r="73" spans="3:75"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I73" s="88"/>
      <c r="AJ73" s="88"/>
      <c r="AK73" s="88"/>
      <c r="AL73" s="88"/>
      <c r="AM73" s="940" t="s">
        <v>1313</v>
      </c>
      <c r="AN73" s="930">
        <f>AN56*AO73</f>
        <v>454677123.27561057</v>
      </c>
      <c r="AO73" s="931">
        <v>0.02</v>
      </c>
      <c r="AP73" s="898" t="s">
        <v>1361</v>
      </c>
      <c r="AQ73" s="905"/>
      <c r="AR73" s="255"/>
    </row>
    <row r="74" spans="3:75"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77" si="28">AF73</f>
        <v>2.5000000000000001E-2</v>
      </c>
      <c r="AG74" s="691">
        <f t="shared" ref="AG74:AG77" si="29">AE74*AF74</f>
        <v>136050000</v>
      </c>
      <c r="AI74" s="88"/>
      <c r="AJ74" s="252"/>
      <c r="AK74" s="252"/>
      <c r="AL74" s="252"/>
      <c r="AM74" s="940" t="s">
        <v>1324</v>
      </c>
      <c r="AN74" s="930">
        <f>AN56*AO74</f>
        <v>1136692808.1890266</v>
      </c>
      <c r="AO74" s="931">
        <v>0.05</v>
      </c>
      <c r="AP74" s="898" t="s">
        <v>1439</v>
      </c>
      <c r="AQ74" s="905"/>
      <c r="AR74" s="255"/>
    </row>
    <row r="75" spans="3:75"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77" si="31">AE74+AG74</f>
        <v>5578050000</v>
      </c>
      <c r="AF75" s="963">
        <f t="shared" si="28"/>
        <v>2.5000000000000001E-2</v>
      </c>
      <c r="AG75" s="691">
        <f t="shared" si="29"/>
        <v>139451250</v>
      </c>
      <c r="AI75" s="88"/>
      <c r="AJ75" s="252"/>
      <c r="AK75" s="88"/>
      <c r="AL75" s="88"/>
      <c r="AM75" s="940" t="s">
        <v>1306</v>
      </c>
      <c r="AN75" s="930">
        <f>AN56*AO75</f>
        <v>454677123.27561057</v>
      </c>
      <c r="AO75" s="931">
        <v>0.02</v>
      </c>
      <c r="AP75" s="899" t="s">
        <v>1360</v>
      </c>
      <c r="AQ75" s="932"/>
      <c r="AR75" s="255"/>
    </row>
    <row r="76" spans="3:75" x14ac:dyDescent="0.3">
      <c r="R76" s="88"/>
      <c r="S76" s="252"/>
      <c r="T76" s="88"/>
      <c r="U76" s="88"/>
      <c r="V76" s="88"/>
      <c r="W76" s="88"/>
      <c r="X76" s="88"/>
      <c r="Y76" s="88"/>
      <c r="Z76" s="361" t="s">
        <v>1347</v>
      </c>
      <c r="AA76" s="736">
        <f>AA72</f>
        <v>9946014227.7978783</v>
      </c>
      <c r="AB76" s="88"/>
      <c r="AD76" s="960">
        <f t="shared" si="30"/>
        <v>2018</v>
      </c>
      <c r="AE76" s="691">
        <f t="shared" si="31"/>
        <v>5717501250</v>
      </c>
      <c r="AF76" s="963">
        <f t="shared" si="28"/>
        <v>2.5000000000000001E-2</v>
      </c>
      <c r="AG76" s="691">
        <f t="shared" si="29"/>
        <v>142937531.25</v>
      </c>
      <c r="AI76" s="88"/>
      <c r="AJ76" s="252"/>
      <c r="AK76" s="88"/>
      <c r="AL76" s="88"/>
      <c r="AM76" s="941" t="s">
        <v>1309</v>
      </c>
      <c r="AN76" s="930">
        <f>AN56*AO76</f>
        <v>454677123.27561057</v>
      </c>
      <c r="AO76" s="931">
        <v>0.02</v>
      </c>
      <c r="AP76" s="899" t="s">
        <v>1440</v>
      </c>
      <c r="AQ76" s="932"/>
      <c r="AR76" s="255"/>
    </row>
    <row r="77" spans="3:75"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I77" s="88"/>
      <c r="AJ77" s="88"/>
      <c r="AK77" s="88"/>
      <c r="AL77" s="88"/>
      <c r="AM77" s="940" t="s">
        <v>1310</v>
      </c>
      <c r="AN77" s="904">
        <f>AN56*AO77</f>
        <v>909354246.55122113</v>
      </c>
      <c r="AO77" s="1065">
        <v>0.04</v>
      </c>
      <c r="AP77" s="898" t="s">
        <v>1362</v>
      </c>
      <c r="AQ77" s="905"/>
      <c r="AR77" s="255"/>
    </row>
    <row r="78" spans="3:75" x14ac:dyDescent="0.3">
      <c r="R78" s="88"/>
      <c r="S78" s="252"/>
      <c r="T78" s="88"/>
      <c r="U78" s="88"/>
      <c r="V78" s="88"/>
      <c r="W78" s="88"/>
      <c r="X78" s="88"/>
      <c r="Y78" s="88"/>
      <c r="Z78" s="555" t="s">
        <v>1333</v>
      </c>
      <c r="AA78" s="957">
        <f>AA72/W72</f>
        <v>5.0000962089448286</v>
      </c>
      <c r="AB78" s="252"/>
      <c r="AD78" s="960">
        <f t="shared" ref="AD78:AD106" si="32">AD77+1</f>
        <v>2020</v>
      </c>
      <c r="AE78" s="691">
        <f t="shared" ref="AE78:AE106" si="33">AE77+AG77</f>
        <v>6006949750.78125</v>
      </c>
      <c r="AF78" s="963">
        <f t="shared" ref="AF78:AF106" si="34">AF77</f>
        <v>2.5000000000000001E-2</v>
      </c>
      <c r="AG78" s="691">
        <f t="shared" ref="AG78:AG106" si="35">AE78*AF78</f>
        <v>150173743.76953125</v>
      </c>
      <c r="AI78" s="88"/>
      <c r="AJ78" s="88"/>
      <c r="AK78" s="88"/>
      <c r="AL78" s="88"/>
      <c r="AM78" s="940" t="s">
        <v>1452</v>
      </c>
      <c r="AN78" s="904">
        <f>AN56*AO78</f>
        <v>0</v>
      </c>
      <c r="AO78" s="1065">
        <v>0</v>
      </c>
      <c r="AP78" s="898" t="s">
        <v>1450</v>
      </c>
      <c r="AQ78" s="905"/>
      <c r="AR78" s="255"/>
    </row>
    <row r="79" spans="3:75" x14ac:dyDescent="0.3">
      <c r="R79" s="88"/>
      <c r="S79" s="252"/>
      <c r="T79" s="88"/>
      <c r="U79" s="88"/>
      <c r="V79" s="88"/>
      <c r="W79" s="88"/>
      <c r="X79" s="88"/>
      <c r="Y79" s="88"/>
      <c r="Z79" s="88"/>
      <c r="AA79" s="88"/>
      <c r="AB79" s="252"/>
      <c r="AD79" s="960">
        <f t="shared" si="32"/>
        <v>2021</v>
      </c>
      <c r="AE79" s="691">
        <f t="shared" si="33"/>
        <v>6157123494.5507813</v>
      </c>
      <c r="AF79" s="963">
        <f t="shared" si="34"/>
        <v>2.5000000000000001E-2</v>
      </c>
      <c r="AG79" s="691">
        <f t="shared" si="35"/>
        <v>153928087.36376953</v>
      </c>
      <c r="AI79" s="88"/>
      <c r="AJ79" s="88"/>
      <c r="AK79" s="88"/>
      <c r="AL79" s="88"/>
      <c r="AM79" s="940" t="s">
        <v>1453</v>
      </c>
      <c r="AN79" s="904">
        <f>AN56*AO79</f>
        <v>0</v>
      </c>
      <c r="AO79" s="1065">
        <v>0</v>
      </c>
      <c r="AP79" s="898" t="s">
        <v>1451</v>
      </c>
      <c r="AQ79" s="905"/>
      <c r="AR79" s="255"/>
    </row>
    <row r="80" spans="3:75" x14ac:dyDescent="0.3">
      <c r="R80" s="88"/>
      <c r="S80" s="252"/>
      <c r="T80" s="88"/>
      <c r="U80" s="88"/>
      <c r="V80" s="88"/>
      <c r="W80" s="88"/>
      <c r="X80" s="88"/>
      <c r="AB80" s="88"/>
      <c r="AD80" s="960">
        <f t="shared" si="32"/>
        <v>2022</v>
      </c>
      <c r="AE80" s="691">
        <f t="shared" si="33"/>
        <v>6311051581.9145508</v>
      </c>
      <c r="AF80" s="963">
        <f t="shared" si="34"/>
        <v>2.5000000000000001E-2</v>
      </c>
      <c r="AG80" s="691">
        <f t="shared" si="35"/>
        <v>157776289.54786378</v>
      </c>
      <c r="AI80" s="88"/>
      <c r="AJ80" s="88"/>
      <c r="AK80" s="88"/>
      <c r="AL80" s="88"/>
      <c r="AM80" s="940" t="s">
        <v>1326</v>
      </c>
      <c r="AN80" s="904">
        <f>AN56*AO80</f>
        <v>454677123.27561057</v>
      </c>
      <c r="AO80" s="1065">
        <v>0.02</v>
      </c>
      <c r="AP80" s="898" t="s">
        <v>1348</v>
      </c>
      <c r="AQ80" s="905"/>
      <c r="AR80" s="251"/>
    </row>
    <row r="81" spans="18:45" x14ac:dyDescent="0.3">
      <c r="R81" s="88"/>
      <c r="S81" s="252"/>
      <c r="T81" s="88"/>
      <c r="U81" s="88"/>
      <c r="V81" s="88"/>
      <c r="W81" s="88"/>
      <c r="AB81" s="88"/>
      <c r="AD81" s="960">
        <f t="shared" si="32"/>
        <v>2023</v>
      </c>
      <c r="AE81" s="691">
        <f t="shared" si="33"/>
        <v>6468827871.4624147</v>
      </c>
      <c r="AF81" s="963">
        <f t="shared" si="34"/>
        <v>2.5000000000000001E-2</v>
      </c>
      <c r="AG81" s="691">
        <f t="shared" si="35"/>
        <v>161720696.78656039</v>
      </c>
      <c r="AI81" s="88"/>
      <c r="AJ81" s="88"/>
      <c r="AK81" s="88"/>
      <c r="AL81" s="88"/>
      <c r="AM81" s="940" t="s">
        <v>1298</v>
      </c>
      <c r="AN81" s="930">
        <f>AN56*AO81</f>
        <v>454677123.27561057</v>
      </c>
      <c r="AO81" s="931">
        <v>0.02</v>
      </c>
      <c r="AP81" s="898" t="s">
        <v>1363</v>
      </c>
      <c r="AQ81" s="905"/>
      <c r="AR81" s="251"/>
    </row>
    <row r="82" spans="18:45" x14ac:dyDescent="0.3">
      <c r="R82" s="88"/>
      <c r="S82" s="252"/>
      <c r="T82" s="88"/>
      <c r="U82" s="88"/>
      <c r="V82" s="88"/>
      <c r="W82" s="88"/>
      <c r="X82" s="88"/>
      <c r="Y82" s="88"/>
      <c r="Z82" s="88"/>
      <c r="AA82" s="88"/>
      <c r="AB82" s="88"/>
      <c r="AD82" s="965">
        <f t="shared" si="32"/>
        <v>2024</v>
      </c>
      <c r="AE82" s="182">
        <f t="shared" si="33"/>
        <v>6630548568.2489748</v>
      </c>
      <c r="AF82" s="966">
        <f t="shared" si="34"/>
        <v>2.5000000000000001E-2</v>
      </c>
      <c r="AG82" s="967">
        <f t="shared" si="35"/>
        <v>165763714.20622438</v>
      </c>
      <c r="AI82" s="88"/>
      <c r="AJ82" s="88"/>
      <c r="AK82" s="88"/>
      <c r="AL82" s="88"/>
      <c r="AM82" s="942"/>
      <c r="AN82" s="1067"/>
      <c r="AO82" s="1068">
        <f>SUM(AO58:AO81)</f>
        <v>0.98682250909279046</v>
      </c>
      <c r="AP82" s="1069"/>
      <c r="AQ82" s="1070"/>
      <c r="AR82" s="251"/>
    </row>
    <row r="83" spans="18:45" x14ac:dyDescent="0.3">
      <c r="R83" s="88"/>
      <c r="S83" s="252"/>
      <c r="T83" s="88"/>
      <c r="U83" s="88"/>
      <c r="V83" s="88"/>
      <c r="W83" s="88"/>
      <c r="X83" s="88"/>
      <c r="Y83" s="88"/>
      <c r="Z83" s="88"/>
      <c r="AA83" s="88"/>
      <c r="AB83" s="88"/>
      <c r="AD83" s="960">
        <f t="shared" si="32"/>
        <v>2025</v>
      </c>
      <c r="AE83" s="691">
        <f t="shared" si="33"/>
        <v>6796312282.4551992</v>
      </c>
      <c r="AF83" s="963">
        <f t="shared" si="34"/>
        <v>2.5000000000000001E-2</v>
      </c>
      <c r="AG83" s="691">
        <f t="shared" si="35"/>
        <v>169907807.06138</v>
      </c>
      <c r="AI83" s="88"/>
      <c r="AJ83" s="88"/>
      <c r="AK83" s="88"/>
      <c r="AL83" s="88"/>
      <c r="AM83" s="941" t="s">
        <v>1321</v>
      </c>
      <c r="AN83" s="904">
        <f>AN56*AO83</f>
        <v>299575182.88402754</v>
      </c>
      <c r="AO83" s="1065">
        <f>100%-AO82</f>
        <v>1.3177490907209544E-2</v>
      </c>
      <c r="AP83" s="898" t="s">
        <v>148</v>
      </c>
      <c r="AQ83" s="905"/>
      <c r="AR83" s="251"/>
    </row>
    <row r="84" spans="18:45" x14ac:dyDescent="0.3">
      <c r="R84" s="88"/>
      <c r="S84" s="88"/>
      <c r="T84" s="88"/>
      <c r="U84" s="88"/>
      <c r="V84" s="88"/>
      <c r="W84" s="88"/>
      <c r="X84" s="88"/>
      <c r="Y84" s="88"/>
      <c r="Z84" s="88"/>
      <c r="AA84" s="88"/>
      <c r="AB84" s="88"/>
      <c r="AD84" s="960">
        <f t="shared" si="32"/>
        <v>2026</v>
      </c>
      <c r="AE84" s="691">
        <f t="shared" si="33"/>
        <v>6966220089.5165796</v>
      </c>
      <c r="AF84" s="963">
        <f t="shared" si="34"/>
        <v>2.5000000000000001E-2</v>
      </c>
      <c r="AG84" s="691">
        <f t="shared" si="35"/>
        <v>174155502.2379145</v>
      </c>
      <c r="AI84" s="88"/>
      <c r="AJ84" s="88"/>
      <c r="AK84" s="88"/>
      <c r="AL84" s="88"/>
      <c r="AM84" s="943" t="s">
        <v>1322</v>
      </c>
      <c r="AN84" s="1071">
        <f>SUM(AN58:AN83)</f>
        <v>22733856163.780533</v>
      </c>
      <c r="AO84" s="1072">
        <f>AO82+AO83</f>
        <v>1</v>
      </c>
      <c r="AP84" s="1073" t="s">
        <v>59</v>
      </c>
      <c r="AQ84" s="1074"/>
      <c r="AR84" s="251"/>
    </row>
    <row r="85" spans="18:45" x14ac:dyDescent="0.3">
      <c r="R85" s="88"/>
      <c r="S85" s="88"/>
      <c r="T85" s="88"/>
      <c r="U85" s="88"/>
      <c r="V85" s="88"/>
      <c r="AD85" s="960">
        <f t="shared" si="32"/>
        <v>2027</v>
      </c>
      <c r="AE85" s="691">
        <f t="shared" si="33"/>
        <v>7140375591.7544937</v>
      </c>
      <c r="AF85" s="963">
        <f t="shared" si="34"/>
        <v>2.5000000000000001E-2</v>
      </c>
      <c r="AG85" s="691">
        <f t="shared" si="35"/>
        <v>178509389.79386234</v>
      </c>
      <c r="AI85" s="88"/>
      <c r="AJ85" s="88"/>
      <c r="AK85" s="88"/>
      <c r="AL85" s="88"/>
      <c r="AM85" s="943" t="s">
        <v>1329</v>
      </c>
      <c r="AN85" s="179">
        <f>AN59+AN60+AN61+AN62+AN63</f>
        <v>7956849657.3231859</v>
      </c>
      <c r="AO85" s="160"/>
      <c r="AP85" s="160" t="s">
        <v>1364</v>
      </c>
      <c r="AQ85" s="303"/>
      <c r="AR85" s="251"/>
    </row>
    <row r="86" spans="18:45" x14ac:dyDescent="0.3">
      <c r="AD86" s="960">
        <f t="shared" si="32"/>
        <v>2028</v>
      </c>
      <c r="AE86" s="691">
        <f t="shared" si="33"/>
        <v>7318884981.5483561</v>
      </c>
      <c r="AF86" s="963">
        <f t="shared" si="34"/>
        <v>2.5000000000000001E-2</v>
      </c>
      <c r="AG86" s="691">
        <f t="shared" si="35"/>
        <v>182972124.53870893</v>
      </c>
      <c r="AI86" s="88"/>
      <c r="AJ86" s="88"/>
      <c r="AK86" s="88"/>
      <c r="AL86" s="88"/>
      <c r="AM86" s="364"/>
      <c r="AN86" s="1075"/>
      <c r="AO86" s="1076"/>
      <c r="AP86" s="1076"/>
      <c r="AQ86" s="1077"/>
      <c r="AR86" s="251"/>
    </row>
    <row r="87" spans="18:45" x14ac:dyDescent="0.3">
      <c r="AD87" s="960">
        <f t="shared" si="32"/>
        <v>2029</v>
      </c>
      <c r="AE87" s="691">
        <f t="shared" si="33"/>
        <v>7501857106.0870647</v>
      </c>
      <c r="AF87" s="963">
        <f t="shared" si="34"/>
        <v>2.5000000000000001E-2</v>
      </c>
      <c r="AG87" s="691">
        <f t="shared" si="35"/>
        <v>187546427.65217662</v>
      </c>
      <c r="AI87" s="88"/>
      <c r="AJ87" s="88"/>
      <c r="AK87" s="88"/>
      <c r="AL87" s="88"/>
      <c r="AM87" s="1007" t="s">
        <v>1336</v>
      </c>
      <c r="AN87" s="1066">
        <f>AA72</f>
        <v>9946014227.7978783</v>
      </c>
      <c r="AO87" s="251" t="s">
        <v>1335</v>
      </c>
      <c r="AP87" s="251"/>
      <c r="AQ87" s="251"/>
      <c r="AR87" s="251"/>
    </row>
    <row r="88" spans="18:45" x14ac:dyDescent="0.3">
      <c r="AD88" s="960">
        <f t="shared" si="32"/>
        <v>2030</v>
      </c>
      <c r="AE88" s="691">
        <f t="shared" si="33"/>
        <v>7689403533.7392416</v>
      </c>
      <c r="AF88" s="963">
        <f t="shared" si="34"/>
        <v>2.5000000000000001E-2</v>
      </c>
      <c r="AG88" s="691">
        <f t="shared" si="35"/>
        <v>192235088.34348106</v>
      </c>
      <c r="AI88" s="88"/>
      <c r="AJ88" s="88"/>
      <c r="AK88" s="88"/>
      <c r="AL88" s="88"/>
      <c r="AM88" s="1008" t="s">
        <v>1337</v>
      </c>
      <c r="AN88" s="1009">
        <f>W72</f>
        <v>1989164570.4746923</v>
      </c>
      <c r="AO88" s="898" t="s">
        <v>1338</v>
      </c>
      <c r="AP88" s="898"/>
      <c r="AQ88" s="251"/>
      <c r="AR88" s="251"/>
    </row>
    <row r="89" spans="18:45" x14ac:dyDescent="0.3">
      <c r="AD89" s="960">
        <f t="shared" si="32"/>
        <v>2031</v>
      </c>
      <c r="AE89" s="691">
        <f t="shared" si="33"/>
        <v>7881638622.0827227</v>
      </c>
      <c r="AF89" s="963">
        <f t="shared" si="34"/>
        <v>2.5000000000000001E-2</v>
      </c>
      <c r="AG89" s="691">
        <f t="shared" si="35"/>
        <v>197040965.55206808</v>
      </c>
      <c r="AI89" s="88"/>
      <c r="AJ89" s="88"/>
      <c r="AK89" s="88"/>
      <c r="AL89" s="88"/>
      <c r="AM89" s="106"/>
      <c r="AN89" s="745"/>
      <c r="AO89" s="251"/>
      <c r="AP89" s="251"/>
      <c r="AQ89" s="251"/>
      <c r="AR89" s="251"/>
      <c r="AS89" s="252"/>
    </row>
    <row r="90" spans="18:45" x14ac:dyDescent="0.3">
      <c r="AD90" s="960">
        <f t="shared" si="32"/>
        <v>2032</v>
      </c>
      <c r="AE90" s="691">
        <f t="shared" si="33"/>
        <v>8078679587.6347904</v>
      </c>
      <c r="AF90" s="963">
        <f t="shared" si="34"/>
        <v>2.5000000000000001E-2</v>
      </c>
      <c r="AG90" s="691">
        <f t="shared" si="35"/>
        <v>201966989.69086978</v>
      </c>
      <c r="AI90" s="88"/>
      <c r="AJ90" s="88"/>
      <c r="AK90" s="88"/>
      <c r="AL90" s="88"/>
      <c r="AN90" s="999" t="s">
        <v>1355</v>
      </c>
      <c r="AO90" s="252"/>
      <c r="AP90" s="252"/>
      <c r="AQ90" s="252"/>
      <c r="AR90" s="252"/>
      <c r="AS90" s="252"/>
    </row>
    <row r="91" spans="18:45" x14ac:dyDescent="0.3">
      <c r="AD91" s="960">
        <f t="shared" si="32"/>
        <v>2033</v>
      </c>
      <c r="AE91" s="691">
        <f t="shared" si="33"/>
        <v>8280646577.3256598</v>
      </c>
      <c r="AF91" s="963">
        <f t="shared" si="34"/>
        <v>2.5000000000000001E-2</v>
      </c>
      <c r="AG91" s="691">
        <f t="shared" si="35"/>
        <v>207016164.4331415</v>
      </c>
      <c r="AI91" s="88"/>
      <c r="AJ91" s="88"/>
      <c r="AK91" s="88"/>
      <c r="AL91" s="88"/>
      <c r="AO91" s="252"/>
      <c r="AP91" s="252"/>
      <c r="AQ91" s="252"/>
      <c r="AR91" s="252"/>
      <c r="AS91" s="252"/>
    </row>
    <row r="92" spans="18:45" x14ac:dyDescent="0.3">
      <c r="AD92" s="960">
        <f t="shared" si="32"/>
        <v>2034</v>
      </c>
      <c r="AE92" s="691">
        <f t="shared" si="33"/>
        <v>8487662741.7588015</v>
      </c>
      <c r="AF92" s="963">
        <f t="shared" si="34"/>
        <v>2.5000000000000001E-2</v>
      </c>
      <c r="AG92" s="691">
        <f t="shared" si="35"/>
        <v>212191568.54397005</v>
      </c>
      <c r="AI92" s="88"/>
      <c r="AJ92" s="88"/>
      <c r="AK92" s="88"/>
      <c r="AL92" s="252"/>
      <c r="AO92" s="252"/>
      <c r="AP92" s="252"/>
      <c r="AQ92" s="252"/>
      <c r="AR92" s="252"/>
      <c r="AS92" s="252"/>
    </row>
    <row r="93" spans="18:45" x14ac:dyDescent="0.3">
      <c r="AD93" s="960">
        <f t="shared" si="32"/>
        <v>2035</v>
      </c>
      <c r="AE93" s="691">
        <f t="shared" si="33"/>
        <v>8699854310.3027706</v>
      </c>
      <c r="AF93" s="963">
        <f t="shared" si="34"/>
        <v>2.5000000000000001E-2</v>
      </c>
      <c r="AG93" s="691">
        <f t="shared" si="35"/>
        <v>217496357.75756928</v>
      </c>
      <c r="AO93" s="252"/>
      <c r="AP93" s="252"/>
      <c r="AQ93" s="252"/>
      <c r="AR93" s="252"/>
      <c r="AS93" s="252"/>
    </row>
    <row r="94" spans="18:45" x14ac:dyDescent="0.3">
      <c r="AD94" s="960">
        <f t="shared" si="32"/>
        <v>2036</v>
      </c>
      <c r="AE94" s="691">
        <f t="shared" si="33"/>
        <v>8917350668.060339</v>
      </c>
      <c r="AF94" s="963">
        <f t="shared" si="34"/>
        <v>2.5000000000000001E-2</v>
      </c>
      <c r="AG94" s="691">
        <f t="shared" si="35"/>
        <v>222933766.70150849</v>
      </c>
      <c r="AO94" s="252"/>
      <c r="AP94" s="252"/>
      <c r="AQ94" s="252"/>
      <c r="AR94" s="252"/>
      <c r="AS94" s="252"/>
    </row>
    <row r="95" spans="18:45" x14ac:dyDescent="0.3">
      <c r="AD95" s="960">
        <f t="shared" si="32"/>
        <v>2037</v>
      </c>
      <c r="AE95" s="691">
        <f t="shared" si="33"/>
        <v>9140284434.7618465</v>
      </c>
      <c r="AF95" s="963">
        <f t="shared" si="34"/>
        <v>2.5000000000000001E-2</v>
      </c>
      <c r="AG95" s="691">
        <f t="shared" si="35"/>
        <v>228507110.86904618</v>
      </c>
      <c r="AO95" s="252"/>
      <c r="AP95" s="252"/>
      <c r="AQ95" s="252"/>
      <c r="AR95" s="252"/>
      <c r="AS95" s="252"/>
    </row>
    <row r="96" spans="18:45" x14ac:dyDescent="0.3">
      <c r="AD96" s="960">
        <f t="shared" si="32"/>
        <v>2038</v>
      </c>
      <c r="AE96" s="691">
        <f t="shared" si="33"/>
        <v>9368791545.6308918</v>
      </c>
      <c r="AF96" s="963">
        <f t="shared" si="34"/>
        <v>2.5000000000000001E-2</v>
      </c>
      <c r="AG96" s="691">
        <f t="shared" si="35"/>
        <v>234219788.64077231</v>
      </c>
      <c r="AO96" s="252"/>
      <c r="AP96" s="252"/>
      <c r="AQ96" s="252"/>
      <c r="AR96" s="252"/>
      <c r="AS96" s="252"/>
    </row>
    <row r="97" spans="30:45" x14ac:dyDescent="0.3">
      <c r="AD97" s="960">
        <f t="shared" si="32"/>
        <v>2039</v>
      </c>
      <c r="AE97" s="691">
        <f t="shared" si="33"/>
        <v>9603011334.2716637</v>
      </c>
      <c r="AF97" s="963">
        <f t="shared" si="34"/>
        <v>2.5000000000000001E-2</v>
      </c>
      <c r="AG97" s="691">
        <f t="shared" si="35"/>
        <v>240075283.35679162</v>
      </c>
      <c r="AO97" s="252"/>
      <c r="AP97" s="252"/>
      <c r="AQ97" s="252"/>
      <c r="AR97" s="252"/>
      <c r="AS97" s="252"/>
    </row>
    <row r="98" spans="30:45" x14ac:dyDescent="0.3">
      <c r="AD98" s="960">
        <f t="shared" si="32"/>
        <v>2040</v>
      </c>
      <c r="AE98" s="691">
        <f t="shared" si="33"/>
        <v>9843086617.6284561</v>
      </c>
      <c r="AF98" s="963">
        <f t="shared" si="34"/>
        <v>2.5000000000000001E-2</v>
      </c>
      <c r="AG98" s="691">
        <f t="shared" si="35"/>
        <v>246077165.44071141</v>
      </c>
    </row>
    <row r="99" spans="30:45" x14ac:dyDescent="0.3">
      <c r="AD99" s="960">
        <f t="shared" si="32"/>
        <v>2041</v>
      </c>
      <c r="AE99" s="691">
        <f t="shared" si="33"/>
        <v>10089163783.069168</v>
      </c>
      <c r="AF99" s="963">
        <f t="shared" si="34"/>
        <v>2.5000000000000001E-2</v>
      </c>
      <c r="AG99" s="691">
        <f t="shared" si="35"/>
        <v>252229094.57672921</v>
      </c>
    </row>
    <row r="100" spans="30:45" x14ac:dyDescent="0.3">
      <c r="AD100" s="960">
        <f t="shared" si="32"/>
        <v>2042</v>
      </c>
      <c r="AE100" s="691">
        <f t="shared" si="33"/>
        <v>10341392877.645897</v>
      </c>
      <c r="AF100" s="963">
        <f t="shared" si="34"/>
        <v>2.5000000000000001E-2</v>
      </c>
      <c r="AG100" s="691">
        <f t="shared" si="35"/>
        <v>258534821.94114745</v>
      </c>
    </row>
    <row r="101" spans="30:45" x14ac:dyDescent="0.3">
      <c r="AD101" s="960">
        <f t="shared" si="32"/>
        <v>2043</v>
      </c>
      <c r="AE101" s="691">
        <f t="shared" si="33"/>
        <v>10599927699.587044</v>
      </c>
      <c r="AF101" s="963">
        <f t="shared" si="34"/>
        <v>2.5000000000000001E-2</v>
      </c>
      <c r="AG101" s="691">
        <f t="shared" si="35"/>
        <v>264998192.48967612</v>
      </c>
    </row>
    <row r="102" spans="30:45" x14ac:dyDescent="0.3">
      <c r="AD102" s="960">
        <f t="shared" si="32"/>
        <v>2044</v>
      </c>
      <c r="AE102" s="691">
        <f t="shared" si="33"/>
        <v>10864925892.076719</v>
      </c>
      <c r="AF102" s="963">
        <f t="shared" si="34"/>
        <v>2.5000000000000001E-2</v>
      </c>
      <c r="AG102" s="691">
        <f t="shared" si="35"/>
        <v>271623147.30191797</v>
      </c>
    </row>
    <row r="103" spans="30:45" x14ac:dyDescent="0.3">
      <c r="AD103" s="960">
        <f t="shared" si="32"/>
        <v>2045</v>
      </c>
      <c r="AE103" s="691">
        <f t="shared" si="33"/>
        <v>11136549039.378637</v>
      </c>
      <c r="AF103" s="963">
        <f t="shared" si="34"/>
        <v>2.5000000000000001E-2</v>
      </c>
      <c r="AG103" s="691">
        <f t="shared" si="35"/>
        <v>278413725.98446596</v>
      </c>
    </row>
    <row r="104" spans="30:45" x14ac:dyDescent="0.3">
      <c r="AD104" s="960">
        <f t="shared" si="32"/>
        <v>2046</v>
      </c>
      <c r="AE104" s="691">
        <f t="shared" si="33"/>
        <v>11414962765.363104</v>
      </c>
      <c r="AF104" s="963">
        <f t="shared" si="34"/>
        <v>2.5000000000000001E-2</v>
      </c>
      <c r="AG104" s="691">
        <f t="shared" si="35"/>
        <v>285374069.13407761</v>
      </c>
    </row>
    <row r="105" spans="30:45" x14ac:dyDescent="0.3">
      <c r="AD105" s="960">
        <f t="shared" si="32"/>
        <v>2047</v>
      </c>
      <c r="AE105" s="691">
        <f t="shared" si="33"/>
        <v>11700336834.497181</v>
      </c>
      <c r="AF105" s="963">
        <f t="shared" si="34"/>
        <v>2.5000000000000001E-2</v>
      </c>
      <c r="AG105" s="691">
        <f t="shared" si="35"/>
        <v>292508420.86242956</v>
      </c>
    </row>
    <row r="106" spans="30:45" x14ac:dyDescent="0.3">
      <c r="AD106" s="960">
        <f t="shared" si="32"/>
        <v>2048</v>
      </c>
      <c r="AE106" s="691">
        <f t="shared" si="33"/>
        <v>11992845255.35961</v>
      </c>
      <c r="AF106" s="963">
        <f t="shared" si="34"/>
        <v>2.5000000000000001E-2</v>
      </c>
      <c r="AG106" s="691">
        <f t="shared" si="35"/>
        <v>299821131.38399023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43EC1-306F-41B0-B9A7-6B79ADBD1FB5}">
  <dimension ref="A2:BY107"/>
  <sheetViews>
    <sheetView showGridLines="0" topLeftCell="T1" workbookViewId="0">
      <selection activeCell="AN87" sqref="AN87"/>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90" customWidth="1"/>
    <col min="75" max="75" width="8.88671875" style="12"/>
    <col min="76" max="76" width="8.88671875" style="1"/>
    <col min="77" max="77" width="17.44140625" style="1" bestFit="1" customWidth="1"/>
    <col min="78" max="16384" width="8.88671875" style="1"/>
  </cols>
  <sheetData>
    <row r="2" spans="1:75"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G2" s="916"/>
      <c r="BK2" s="916"/>
      <c r="BV2" s="917"/>
      <c r="BW2" s="916"/>
    </row>
    <row r="3" spans="1:75" ht="25.95" customHeight="1" x14ac:dyDescent="0.5">
      <c r="C3" s="570" t="s">
        <v>1446</v>
      </c>
      <c r="F3" s="1081"/>
      <c r="G3" s="648"/>
      <c r="AN3" s="999" t="s">
        <v>1355</v>
      </c>
    </row>
    <row r="4" spans="1:75"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row>
    <row r="5" spans="1:75" ht="18.600000000000001" x14ac:dyDescent="0.45">
      <c r="C5" s="37" t="s">
        <v>972</v>
      </c>
      <c r="D5" s="619"/>
      <c r="E5" s="408">
        <f>E11</f>
        <v>2832984427.6603756</v>
      </c>
      <c r="F5" s="1082">
        <v>1</v>
      </c>
      <c r="G5" s="408">
        <f>E5*F5</f>
        <v>2832984427.6603756</v>
      </c>
      <c r="H5" s="409">
        <v>0.9</v>
      </c>
      <c r="I5" s="408">
        <f>G5*H5</f>
        <v>2549685984.8943381</v>
      </c>
      <c r="J5" s="409">
        <v>1</v>
      </c>
      <c r="K5" s="408">
        <f>I5*J5</f>
        <v>2549685984.8943381</v>
      </c>
      <c r="L5" s="409">
        <f>H5</f>
        <v>0.9</v>
      </c>
      <c r="M5" s="408">
        <f>K5*L5</f>
        <v>2294717386.4049044</v>
      </c>
      <c r="N5" s="409">
        <f>J5</f>
        <v>1</v>
      </c>
      <c r="O5" s="408">
        <f>M5*N5</f>
        <v>2294717386.4049044</v>
      </c>
      <c r="P5" s="409">
        <f>L5</f>
        <v>0.9</v>
      </c>
      <c r="Q5" s="408">
        <f>O5*P5</f>
        <v>2065245647.7644141</v>
      </c>
      <c r="R5" s="409">
        <f>N5</f>
        <v>1</v>
      </c>
      <c r="S5" s="408">
        <f>Q5*R5</f>
        <v>2065245647.7644141</v>
      </c>
      <c r="T5" s="409">
        <f>P5</f>
        <v>0.9</v>
      </c>
      <c r="U5" s="408">
        <f>S5*T5</f>
        <v>1858721082.9879727</v>
      </c>
      <c r="V5" s="409">
        <f>R5</f>
        <v>1</v>
      </c>
      <c r="W5" s="408">
        <f>U5*V5</f>
        <v>1858721082.9879727</v>
      </c>
      <c r="X5" s="409">
        <f>T5</f>
        <v>0.9</v>
      </c>
      <c r="Y5" s="408">
        <f>W5*X5</f>
        <v>1672848974.6891756</v>
      </c>
      <c r="Z5" s="409">
        <f>V5</f>
        <v>1</v>
      </c>
      <c r="AA5" s="408">
        <f>Y5*Z5</f>
        <v>1672848974.6891756</v>
      </c>
      <c r="AB5" s="409">
        <f>X5</f>
        <v>0.9</v>
      </c>
      <c r="AC5" s="408">
        <f>AA5*AB5</f>
        <v>1505564077.220258</v>
      </c>
      <c r="AD5" s="409">
        <f>Z5</f>
        <v>1</v>
      </c>
      <c r="AE5" s="408">
        <f>AC5*AD5</f>
        <v>1505564077.220258</v>
      </c>
      <c r="AF5" s="409">
        <f>AB5</f>
        <v>0.9</v>
      </c>
      <c r="AG5" s="408">
        <f>AE5*AF5</f>
        <v>1355007669.4982321</v>
      </c>
      <c r="AH5" s="409">
        <f>AD5</f>
        <v>1</v>
      </c>
      <c r="AI5" s="408">
        <f>AG5*AH5</f>
        <v>1355007669.4982321</v>
      </c>
      <c r="AJ5" s="409">
        <f>AF5</f>
        <v>0.9</v>
      </c>
      <c r="AK5" s="408">
        <f>AI5*AJ5</f>
        <v>1219506902.548409</v>
      </c>
      <c r="AL5" s="409">
        <f>AH5</f>
        <v>1</v>
      </c>
      <c r="AM5" s="408">
        <f>AK5*AL5</f>
        <v>1219506902.548409</v>
      </c>
      <c r="AN5" s="719">
        <f>G5+I5+M5+Q5+U5+Y5+AC5+AG5+AK5</f>
        <v>17354282153.668079</v>
      </c>
      <c r="AP5" s="621">
        <f>AJ5</f>
        <v>0.9</v>
      </c>
      <c r="AQ5" s="622">
        <f>AM5*AP5</f>
        <v>1097556212.2935681</v>
      </c>
      <c r="AR5" s="626"/>
      <c r="AS5" s="626"/>
      <c r="AT5" s="627"/>
    </row>
    <row r="6" spans="1:75" x14ac:dyDescent="0.3">
      <c r="F6" s="1081"/>
      <c r="AN6" s="93"/>
      <c r="AT6" s="628"/>
    </row>
    <row r="7" spans="1:75"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462" t="s">
        <v>749</v>
      </c>
      <c r="AG7" s="170" t="s">
        <v>1379</v>
      </c>
      <c r="AH7" s="175" t="s">
        <v>297</v>
      </c>
      <c r="AI7" s="170" t="s">
        <v>59</v>
      </c>
      <c r="AJ7" s="301" t="s">
        <v>749</v>
      </c>
      <c r="AK7" s="121" t="s">
        <v>1380</v>
      </c>
      <c r="AL7" s="173" t="s">
        <v>297</v>
      </c>
      <c r="AM7" s="121" t="s">
        <v>59</v>
      </c>
      <c r="AN7" s="121" t="s">
        <v>1381</v>
      </c>
      <c r="AP7" s="588" t="s">
        <v>1367</v>
      </c>
      <c r="AQ7" s="121" t="s">
        <v>1372</v>
      </c>
      <c r="AT7" s="628"/>
    </row>
    <row r="8" spans="1:75" x14ac:dyDescent="0.3">
      <c r="B8" s="584"/>
      <c r="C8" s="7"/>
      <c r="E8" s="875">
        <f>AN47</f>
        <v>5665968855.3207512</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586" t="s">
        <v>1371</v>
      </c>
      <c r="AG8" s="470"/>
      <c r="AH8" s="471"/>
      <c r="AI8" s="470"/>
      <c r="AJ8" s="587" t="s">
        <v>1371</v>
      </c>
      <c r="AK8" s="303"/>
      <c r="AL8" s="179"/>
      <c r="AM8" s="303"/>
      <c r="AN8" s="126"/>
      <c r="AP8" s="589" t="s">
        <v>1371</v>
      </c>
      <c r="AQ8" s="303"/>
      <c r="AT8" s="628"/>
    </row>
    <row r="9" spans="1:75" ht="16.2" thickBot="1" x14ac:dyDescent="0.35">
      <c r="B9" s="585" t="s">
        <v>943</v>
      </c>
      <c r="C9" s="1078">
        <v>8</v>
      </c>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122"/>
      <c r="AK9" s="459" t="s">
        <v>282</v>
      </c>
      <c r="AL9" s="122"/>
      <c r="AM9" s="8"/>
      <c r="AN9" s="126"/>
      <c r="AP9" s="122"/>
      <c r="AQ9" s="459" t="s">
        <v>282</v>
      </c>
      <c r="AT9" s="628"/>
    </row>
    <row r="10" spans="1:75" ht="16.2" thickBot="1" x14ac:dyDescent="0.35">
      <c r="B10" s="585" t="s">
        <v>944</v>
      </c>
      <c r="C10" s="1211">
        <v>0.05</v>
      </c>
      <c r="D10" s="630" t="s">
        <v>953</v>
      </c>
      <c r="E10" s="994">
        <f>AO53</f>
        <v>256</v>
      </c>
      <c r="F10" s="1085">
        <v>0.25</v>
      </c>
      <c r="G10" s="130">
        <f>E14*F10</f>
        <v>78723961.354028419</v>
      </c>
      <c r="H10" s="460">
        <v>0.5</v>
      </c>
      <c r="I10" s="130">
        <f>G10*H10</f>
        <v>39361980.677014209</v>
      </c>
      <c r="J10" s="460">
        <v>1</v>
      </c>
      <c r="K10" s="458">
        <f>I10*J10</f>
        <v>39361980.677014209</v>
      </c>
      <c r="L10" s="129">
        <f>H10</f>
        <v>0.5</v>
      </c>
      <c r="M10" s="458">
        <f>K10*L10</f>
        <v>19680990.338507105</v>
      </c>
      <c r="N10" s="129">
        <f>J10</f>
        <v>1</v>
      </c>
      <c r="O10" s="458">
        <f>M10*N10</f>
        <v>19680990.338507105</v>
      </c>
      <c r="P10" s="129">
        <f>L10</f>
        <v>0.5</v>
      </c>
      <c r="Q10" s="458">
        <f>O10*P10</f>
        <v>9840495.1692535523</v>
      </c>
      <c r="R10" s="129">
        <f>N10</f>
        <v>1</v>
      </c>
      <c r="S10" s="458">
        <f>Q10*R10</f>
        <v>9840495.1692535523</v>
      </c>
      <c r="T10" s="129">
        <f>P10</f>
        <v>0.5</v>
      </c>
      <c r="U10" s="458">
        <f>S10*T10</f>
        <v>4920247.5846267762</v>
      </c>
      <c r="V10" s="129">
        <f>R10</f>
        <v>1</v>
      </c>
      <c r="W10" s="458">
        <f>U10*V10</f>
        <v>4920247.5846267762</v>
      </c>
      <c r="X10" s="129">
        <f>T10</f>
        <v>0.5</v>
      </c>
      <c r="Y10" s="458">
        <f>W10*X10</f>
        <v>2460123.7923133881</v>
      </c>
      <c r="Z10" s="129">
        <f>V10</f>
        <v>1</v>
      </c>
      <c r="AA10" s="458">
        <f>Y10*Z10</f>
        <v>2460123.7923133881</v>
      </c>
      <c r="AB10" s="129">
        <f>X10</f>
        <v>0.5</v>
      </c>
      <c r="AC10" s="458">
        <f>AA10*AB10</f>
        <v>1230061.896156694</v>
      </c>
      <c r="AD10" s="129">
        <f>Z10</f>
        <v>1</v>
      </c>
      <c r="AE10" s="458">
        <f>AC10*AD10</f>
        <v>1230061.896156694</v>
      </c>
      <c r="AF10" s="129">
        <f>AB10</f>
        <v>0.5</v>
      </c>
      <c r="AG10" s="458">
        <f>AE10*AF10</f>
        <v>615030.94807834702</v>
      </c>
      <c r="AH10" s="129">
        <f>AD10</f>
        <v>1</v>
      </c>
      <c r="AI10" s="458">
        <f>AG10*AH10</f>
        <v>615030.94807834702</v>
      </c>
      <c r="AJ10" s="129">
        <f>AF10</f>
        <v>0.5</v>
      </c>
      <c r="AK10" s="458">
        <f>AI10*AJ10</f>
        <v>307515.47403917351</v>
      </c>
      <c r="AL10" s="129">
        <f>AH10</f>
        <v>1</v>
      </c>
      <c r="AM10" s="458">
        <f>AK10*AL10</f>
        <v>307515.47403917351</v>
      </c>
      <c r="AN10" s="161">
        <f>G10+I10+M10+Q10+U10+Y10+AC10+AG10+AK10</f>
        <v>157140407.23401767</v>
      </c>
      <c r="AP10" s="590">
        <f>AJ10</f>
        <v>0.5</v>
      </c>
      <c r="AQ10" s="458">
        <f>AM10*AP10</f>
        <v>153757.73701958676</v>
      </c>
      <c r="AR10" s="623"/>
      <c r="AS10" s="624"/>
      <c r="AT10" s="628"/>
    </row>
    <row r="11" spans="1:75" ht="16.2" thickBot="1" x14ac:dyDescent="0.35">
      <c r="B11" s="585" t="s">
        <v>945</v>
      </c>
      <c r="C11" s="1078">
        <v>2025</v>
      </c>
      <c r="D11" s="630" t="s">
        <v>1291</v>
      </c>
      <c r="E11" s="631">
        <f>E8/2</f>
        <v>2832984427.6603756</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122"/>
      <c r="AK11" s="457" t="s">
        <v>283</v>
      </c>
      <c r="AL11" s="122"/>
      <c r="AM11" s="8"/>
      <c r="AN11" s="126"/>
      <c r="AP11" s="122"/>
      <c r="AQ11" s="457" t="s">
        <v>283</v>
      </c>
      <c r="AR11" s="623"/>
      <c r="AS11" s="623"/>
      <c r="AT11" s="628"/>
    </row>
    <row r="12" spans="1:75" ht="16.2" thickBot="1" x14ac:dyDescent="0.35">
      <c r="B12" s="584"/>
      <c r="E12" s="997">
        <f>E9*E10</f>
        <v>0</v>
      </c>
      <c r="F12" s="1086">
        <v>0.25</v>
      </c>
      <c r="G12" s="135">
        <f>E14*F12</f>
        <v>78723961.354028419</v>
      </c>
      <c r="H12" s="461">
        <v>0.9</v>
      </c>
      <c r="I12" s="135">
        <f>G12*H12</f>
        <v>70851565.218625575</v>
      </c>
      <c r="J12" s="461">
        <v>1</v>
      </c>
      <c r="K12" s="440">
        <f>I12*J12</f>
        <v>70851565.218625575</v>
      </c>
      <c r="L12" s="133">
        <f>H12</f>
        <v>0.9</v>
      </c>
      <c r="M12" s="440">
        <f>K12*L12</f>
        <v>63766408.696763016</v>
      </c>
      <c r="N12" s="133">
        <f>J12</f>
        <v>1</v>
      </c>
      <c r="O12" s="440">
        <f>M12*N12</f>
        <v>63766408.696763016</v>
      </c>
      <c r="P12" s="133">
        <f>L12</f>
        <v>0.9</v>
      </c>
      <c r="Q12" s="440">
        <f>O12*P12</f>
        <v>57389767.827086717</v>
      </c>
      <c r="R12" s="133">
        <f>N12</f>
        <v>1</v>
      </c>
      <c r="S12" s="440">
        <f>Q12*R12</f>
        <v>57389767.827086717</v>
      </c>
      <c r="T12" s="133">
        <f>P12</f>
        <v>0.9</v>
      </c>
      <c r="U12" s="440">
        <f>S12*T12</f>
        <v>51650791.04437805</v>
      </c>
      <c r="V12" s="133">
        <f>R12</f>
        <v>1</v>
      </c>
      <c r="W12" s="440">
        <f>U12*V12</f>
        <v>51650791.04437805</v>
      </c>
      <c r="X12" s="133">
        <f>T12</f>
        <v>0.9</v>
      </c>
      <c r="Y12" s="440">
        <f>W12*X12</f>
        <v>46485711.939940244</v>
      </c>
      <c r="Z12" s="133">
        <f>V12</f>
        <v>1</v>
      </c>
      <c r="AA12" s="440">
        <f>Y12*Z12</f>
        <v>46485711.939940244</v>
      </c>
      <c r="AB12" s="133">
        <f>X12</f>
        <v>0.9</v>
      </c>
      <c r="AC12" s="440">
        <f>AA12*AB12</f>
        <v>41837140.745946221</v>
      </c>
      <c r="AD12" s="133">
        <f>Z12</f>
        <v>1</v>
      </c>
      <c r="AE12" s="440">
        <f>AC12*AD12</f>
        <v>41837140.745946221</v>
      </c>
      <c r="AF12" s="133">
        <f>AB12</f>
        <v>0.9</v>
      </c>
      <c r="AG12" s="440">
        <f>AE12*AF12</f>
        <v>37653426.671351597</v>
      </c>
      <c r="AH12" s="133">
        <f>AD12</f>
        <v>1</v>
      </c>
      <c r="AI12" s="440">
        <f>AG12*AH12</f>
        <v>37653426.671351597</v>
      </c>
      <c r="AJ12" s="133">
        <f>AF12</f>
        <v>0.9</v>
      </c>
      <c r="AK12" s="440">
        <f>AI12*AJ12</f>
        <v>33888084.00421644</v>
      </c>
      <c r="AL12" s="133">
        <f>AH12</f>
        <v>1</v>
      </c>
      <c r="AM12" s="440">
        <f>AK12*AL12</f>
        <v>33888084.00421644</v>
      </c>
      <c r="AN12" s="161">
        <f>G12+I12+M12+Q12+U12+Y12+AC12+AG12+AK12</f>
        <v>482246857.50233626</v>
      </c>
      <c r="AP12" s="591">
        <f>AJ12</f>
        <v>0.9</v>
      </c>
      <c r="AQ12" s="440">
        <f>AM12*AP12</f>
        <v>30499275.603794798</v>
      </c>
      <c r="AR12" s="623"/>
      <c r="AS12" s="624"/>
      <c r="AT12" s="628"/>
    </row>
    <row r="13" spans="1:75"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122"/>
      <c r="AK13" s="451" t="s">
        <v>284</v>
      </c>
      <c r="AL13" s="122"/>
      <c r="AM13" s="8"/>
      <c r="AN13" s="126"/>
      <c r="AP13" s="122"/>
      <c r="AQ13" s="451" t="s">
        <v>284</v>
      </c>
      <c r="AR13" s="623"/>
      <c r="AS13" s="623"/>
      <c r="AT13" s="628"/>
    </row>
    <row r="14" spans="1:75" ht="16.2" thickBot="1" x14ac:dyDescent="0.35">
      <c r="A14" s="162"/>
      <c r="B14" s="162"/>
      <c r="C14" s="137" t="s">
        <v>291</v>
      </c>
      <c r="D14" s="1212">
        <v>0.111153397929607</v>
      </c>
      <c r="E14" s="139">
        <f>E11*D14</f>
        <v>314895845.41611367</v>
      </c>
      <c r="F14" s="1088">
        <v>0.5</v>
      </c>
      <c r="G14" s="139">
        <f>E14*F14</f>
        <v>157447922.70805684</v>
      </c>
      <c r="H14" s="463">
        <v>0.9</v>
      </c>
      <c r="I14" s="139">
        <f>G14*H14</f>
        <v>141703130.43725115</v>
      </c>
      <c r="J14" s="463">
        <v>1</v>
      </c>
      <c r="K14" s="441">
        <f>I14*J14</f>
        <v>141703130.43725115</v>
      </c>
      <c r="L14" s="140">
        <f>H14</f>
        <v>0.9</v>
      </c>
      <c r="M14" s="441">
        <f>K14*L14</f>
        <v>127532817.39352603</v>
      </c>
      <c r="N14" s="140">
        <f>J14</f>
        <v>1</v>
      </c>
      <c r="O14" s="441">
        <f>M14*N14</f>
        <v>127532817.39352603</v>
      </c>
      <c r="P14" s="140">
        <f>L14</f>
        <v>0.9</v>
      </c>
      <c r="Q14" s="441">
        <f>O14*P14</f>
        <v>114779535.65417343</v>
      </c>
      <c r="R14" s="140">
        <f>N14</f>
        <v>1</v>
      </c>
      <c r="S14" s="441">
        <f>Q14*R14</f>
        <v>114779535.65417343</v>
      </c>
      <c r="T14" s="140">
        <f>P14</f>
        <v>0.9</v>
      </c>
      <c r="U14" s="441">
        <f>S14*T14</f>
        <v>103301582.0887561</v>
      </c>
      <c r="V14" s="140">
        <f>R14</f>
        <v>1</v>
      </c>
      <c r="W14" s="441">
        <f>U14*V14</f>
        <v>103301582.0887561</v>
      </c>
      <c r="X14" s="140">
        <f>T14</f>
        <v>0.9</v>
      </c>
      <c r="Y14" s="441">
        <f>W14*X14</f>
        <v>92971423.879880488</v>
      </c>
      <c r="Z14" s="140">
        <f>V14</f>
        <v>1</v>
      </c>
      <c r="AA14" s="441">
        <f>Y14*Z14</f>
        <v>92971423.879880488</v>
      </c>
      <c r="AB14" s="140">
        <f>X14</f>
        <v>0.9</v>
      </c>
      <c r="AC14" s="441">
        <f>AA14*AB14</f>
        <v>83674281.491892442</v>
      </c>
      <c r="AD14" s="140">
        <f>Z14</f>
        <v>1</v>
      </c>
      <c r="AE14" s="441">
        <f>AC14*AD14</f>
        <v>83674281.491892442</v>
      </c>
      <c r="AF14" s="140">
        <f>AB14</f>
        <v>0.9</v>
      </c>
      <c r="AG14" s="441">
        <f>AE14*AF14</f>
        <v>75306853.342703193</v>
      </c>
      <c r="AH14" s="140">
        <f>AD14</f>
        <v>1</v>
      </c>
      <c r="AI14" s="441">
        <f>AG14*AH14</f>
        <v>75306853.342703193</v>
      </c>
      <c r="AJ14" s="140">
        <f>AF14</f>
        <v>0.9</v>
      </c>
      <c r="AK14" s="441">
        <f>AI14*AJ14</f>
        <v>67776168.00843288</v>
      </c>
      <c r="AL14" s="140">
        <f>AH14</f>
        <v>1</v>
      </c>
      <c r="AM14" s="441">
        <f>AK14*AL14</f>
        <v>67776168.00843288</v>
      </c>
      <c r="AN14" s="161">
        <f>G14+I14+M14+Q14+U14+Y14+AC14+AG14+AK14</f>
        <v>964493715.00467253</v>
      </c>
      <c r="AP14" s="592">
        <f>AJ14</f>
        <v>0.9</v>
      </c>
      <c r="AQ14" s="441">
        <f>AM14*AP14</f>
        <v>60998551.207589597</v>
      </c>
      <c r="AR14" s="623"/>
      <c r="AS14" s="624"/>
      <c r="AT14" s="628"/>
    </row>
    <row r="15" spans="1:75"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23"/>
      <c r="AS15" s="623"/>
      <c r="AT15" s="628"/>
    </row>
    <row r="16" spans="1:75"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455"/>
      <c r="AK16" s="454" t="s">
        <v>744</v>
      </c>
      <c r="AL16" s="141"/>
      <c r="AM16" s="164"/>
      <c r="AN16" s="126"/>
      <c r="AP16" s="455"/>
      <c r="AQ16" s="454" t="s">
        <v>744</v>
      </c>
      <c r="AR16" s="625"/>
      <c r="AS16" s="625"/>
      <c r="AT16" s="628"/>
      <c r="BG16" s="233"/>
      <c r="BK16" s="233"/>
      <c r="BV16" s="345"/>
      <c r="BW16" s="233"/>
    </row>
    <row r="17" spans="1:77" ht="16.2" thickBot="1" x14ac:dyDescent="0.35">
      <c r="A17" s="18"/>
      <c r="B17" s="18"/>
      <c r="C17" s="397" t="s">
        <v>276</v>
      </c>
      <c r="D17" s="1213">
        <f>100%-D14-D21</f>
        <v>0.5625</v>
      </c>
      <c r="E17" s="399">
        <f>E11*D17</f>
        <v>1593553740.5589614</v>
      </c>
      <c r="F17" s="1090">
        <v>1</v>
      </c>
      <c r="G17" s="399">
        <f>E17*F17</f>
        <v>1593553740.5589614</v>
      </c>
      <c r="H17" s="464">
        <v>0.9</v>
      </c>
      <c r="I17" s="399">
        <f>G17*H17</f>
        <v>1434198366.5030653</v>
      </c>
      <c r="J17" s="464">
        <v>1</v>
      </c>
      <c r="K17" s="453">
        <f>I17*J17</f>
        <v>1434198366.5030653</v>
      </c>
      <c r="L17" s="400">
        <f>H17</f>
        <v>0.9</v>
      </c>
      <c r="M17" s="453">
        <f>K17*L17</f>
        <v>1290778529.8527589</v>
      </c>
      <c r="N17" s="400">
        <f>J17</f>
        <v>1</v>
      </c>
      <c r="O17" s="453">
        <f>M17*N17</f>
        <v>1290778529.8527589</v>
      </c>
      <c r="P17" s="400">
        <f>L17</f>
        <v>0.9</v>
      </c>
      <c r="Q17" s="453">
        <f>O17*P17</f>
        <v>1161700676.8674831</v>
      </c>
      <c r="R17" s="400">
        <f>N17</f>
        <v>1</v>
      </c>
      <c r="S17" s="453">
        <f>Q17*R17</f>
        <v>1161700676.8674831</v>
      </c>
      <c r="T17" s="400">
        <f>P17</f>
        <v>0.9</v>
      </c>
      <c r="U17" s="453">
        <f>S17*T17</f>
        <v>1045530609.1807349</v>
      </c>
      <c r="V17" s="400">
        <f>R17</f>
        <v>1</v>
      </c>
      <c r="W17" s="453">
        <f>U17*V17</f>
        <v>1045530609.1807349</v>
      </c>
      <c r="X17" s="400">
        <f>T17</f>
        <v>0.9</v>
      </c>
      <c r="Y17" s="453">
        <f>W17*X17</f>
        <v>940977548.26266146</v>
      </c>
      <c r="Z17" s="400">
        <f>V17</f>
        <v>1</v>
      </c>
      <c r="AA17" s="453">
        <f>Y17*Z17</f>
        <v>940977548.26266146</v>
      </c>
      <c r="AB17" s="400">
        <f>X17</f>
        <v>0.9</v>
      </c>
      <c r="AC17" s="453">
        <f>AA17*AB17</f>
        <v>846879793.43639529</v>
      </c>
      <c r="AD17" s="400">
        <f>Z17</f>
        <v>1</v>
      </c>
      <c r="AE17" s="453">
        <f>AC17*AD17</f>
        <v>846879793.43639529</v>
      </c>
      <c r="AF17" s="400">
        <f>AB17</f>
        <v>0.9</v>
      </c>
      <c r="AG17" s="453">
        <f>AE17*AF17</f>
        <v>762191814.09275579</v>
      </c>
      <c r="AH17" s="400">
        <f>AD17</f>
        <v>1</v>
      </c>
      <c r="AI17" s="453">
        <f>AG17*AH17</f>
        <v>762191814.09275579</v>
      </c>
      <c r="AJ17" s="400">
        <f>AF17</f>
        <v>0.9</v>
      </c>
      <c r="AK17" s="453">
        <f>AI17*AJ17</f>
        <v>685972632.68348026</v>
      </c>
      <c r="AL17" s="400">
        <f>AH17</f>
        <v>1</v>
      </c>
      <c r="AM17" s="453">
        <f>AK17*AL17</f>
        <v>685972632.68348026</v>
      </c>
      <c r="AN17" s="161">
        <f>G17+I17+M17+Q17+U17+Y17+AC17+AG17+AK17</f>
        <v>9761783711.4382973</v>
      </c>
      <c r="AP17" s="593">
        <f>AJ17</f>
        <v>0.9</v>
      </c>
      <c r="AQ17" s="453">
        <f>AM17*AP17</f>
        <v>617375369.41513228</v>
      </c>
      <c r="AR17" s="623"/>
      <c r="AS17" s="624"/>
      <c r="AT17" s="628"/>
      <c r="BJ17" s="974" t="s">
        <v>872</v>
      </c>
      <c r="BL17" s="974" t="s">
        <v>872</v>
      </c>
      <c r="BO17" s="974" t="s">
        <v>872</v>
      </c>
    </row>
    <row r="18" spans="1:77"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23"/>
      <c r="AS18" s="623"/>
      <c r="AT18" s="628"/>
      <c r="BJ18" s="974" t="s">
        <v>5</v>
      </c>
      <c r="BL18" s="974" t="s">
        <v>7</v>
      </c>
      <c r="BO18" s="77" t="s">
        <v>968</v>
      </c>
    </row>
    <row r="19" spans="1:77"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23"/>
      <c r="AS19" s="623"/>
      <c r="AT19" s="628"/>
      <c r="AW19" s="473"/>
      <c r="AX19" s="473"/>
      <c r="AY19" s="473"/>
      <c r="AZ19" s="473"/>
      <c r="BA19" s="473"/>
      <c r="BB19" s="473"/>
      <c r="BC19" s="473"/>
      <c r="BD19" s="473"/>
      <c r="BE19" s="473"/>
      <c r="BF19" s="473"/>
      <c r="BG19" s="970"/>
      <c r="BH19" s="485"/>
      <c r="BI19" s="485"/>
      <c r="BJ19" s="485" t="s">
        <v>961</v>
      </c>
      <c r="BK19" s="485" t="s">
        <v>967</v>
      </c>
      <c r="BL19" s="485" t="s">
        <v>59</v>
      </c>
      <c r="BM19" s="485" t="s">
        <v>1343</v>
      </c>
      <c r="BN19" s="485" t="s">
        <v>1344</v>
      </c>
      <c r="BO19" s="485"/>
      <c r="BP19" s="473"/>
      <c r="BQ19" s="485" t="s">
        <v>966</v>
      </c>
      <c r="BR19" s="485" t="s">
        <v>974</v>
      </c>
      <c r="BS19" s="485" t="s">
        <v>965</v>
      </c>
      <c r="BT19" s="485" t="s">
        <v>965</v>
      </c>
      <c r="BU19" s="485" t="s">
        <v>1345</v>
      </c>
      <c r="BV19" s="305" t="s">
        <v>1286</v>
      </c>
      <c r="BW19" s="304"/>
    </row>
    <row r="20" spans="1:77"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122"/>
      <c r="AK20" s="450" t="s">
        <v>285</v>
      </c>
      <c r="AL20" s="122"/>
      <c r="AM20" s="8"/>
      <c r="AN20" s="126"/>
      <c r="AP20" s="122"/>
      <c r="AQ20" s="450" t="s">
        <v>285</v>
      </c>
      <c r="AR20" s="623"/>
      <c r="AS20" s="623"/>
      <c r="AT20" s="628"/>
      <c r="AW20" s="473"/>
      <c r="AX20" s="473"/>
      <c r="AY20" s="473"/>
      <c r="AZ20" s="473"/>
      <c r="BA20" s="473"/>
      <c r="BB20" s="473"/>
      <c r="BC20" s="473"/>
      <c r="BD20" s="473"/>
      <c r="BE20" s="473"/>
      <c r="BF20" s="473"/>
      <c r="BG20" s="970"/>
      <c r="BH20" s="485"/>
      <c r="BI20" s="485"/>
      <c r="BJ20" s="971">
        <f>'POP Dimensions'!C15</f>
        <v>10737418.24</v>
      </c>
      <c r="BK20" s="954">
        <v>64</v>
      </c>
      <c r="BL20" s="972">
        <f>BK20*BJ20</f>
        <v>687194767.36000001</v>
      </c>
      <c r="BM20" s="954">
        <v>16</v>
      </c>
      <c r="BN20" s="954"/>
      <c r="BO20" s="971">
        <f>BL20*BM20</f>
        <v>10995116277.76</v>
      </c>
      <c r="BP20" s="473"/>
      <c r="BQ20" s="485" t="s">
        <v>785</v>
      </c>
      <c r="BR20" s="485"/>
      <c r="BS20" s="485" t="s">
        <v>962</v>
      </c>
      <c r="BT20" s="485" t="s">
        <v>1341</v>
      </c>
      <c r="BU20" s="485" t="s">
        <v>1342</v>
      </c>
      <c r="BV20" s="305"/>
      <c r="BW20" s="304"/>
    </row>
    <row r="21" spans="1:77" ht="16.2" thickBot="1" x14ac:dyDescent="0.35">
      <c r="C21" s="149" t="s">
        <v>737</v>
      </c>
      <c r="D21" s="1214">
        <v>0.32634660207039301</v>
      </c>
      <c r="E21" s="151">
        <f>E11*D21</f>
        <v>924534841.68530071</v>
      </c>
      <c r="F21" s="1092">
        <v>0.3</v>
      </c>
      <c r="G21" s="151">
        <f>E21*F21</f>
        <v>277360452.5055902</v>
      </c>
      <c r="H21" s="465">
        <v>0.9</v>
      </c>
      <c r="I21" s="151">
        <f>G21*H21</f>
        <v>249624407.2550312</v>
      </c>
      <c r="J21" s="465">
        <v>1</v>
      </c>
      <c r="K21" s="444">
        <f>I21*J21</f>
        <v>249624407.2550312</v>
      </c>
      <c r="L21" s="152">
        <f>H21</f>
        <v>0.9</v>
      </c>
      <c r="M21" s="444">
        <f>K21*L21</f>
        <v>224661966.52952808</v>
      </c>
      <c r="N21" s="152">
        <f>J21</f>
        <v>1</v>
      </c>
      <c r="O21" s="444">
        <f>M21*N21</f>
        <v>224661966.52952808</v>
      </c>
      <c r="P21" s="152">
        <f>L21</f>
        <v>0.9</v>
      </c>
      <c r="Q21" s="444">
        <f>O21*P21</f>
        <v>202195769.87657529</v>
      </c>
      <c r="R21" s="152">
        <f>N21</f>
        <v>1</v>
      </c>
      <c r="S21" s="444">
        <f>Q21*R21</f>
        <v>202195769.87657529</v>
      </c>
      <c r="T21" s="152">
        <f>P21</f>
        <v>0.9</v>
      </c>
      <c r="U21" s="444">
        <f>S21*T21</f>
        <v>181976192.88891777</v>
      </c>
      <c r="V21" s="152">
        <f>R21</f>
        <v>1</v>
      </c>
      <c r="W21" s="444">
        <f>U21*V21</f>
        <v>181976192.88891777</v>
      </c>
      <c r="X21" s="152">
        <f>T21</f>
        <v>0.9</v>
      </c>
      <c r="Y21" s="444">
        <f>W21*X21</f>
        <v>163778573.60002601</v>
      </c>
      <c r="Z21" s="152">
        <f>V21</f>
        <v>1</v>
      </c>
      <c r="AA21" s="444">
        <f>Y21*Z21</f>
        <v>163778573.60002601</v>
      </c>
      <c r="AB21" s="152">
        <f>X21</f>
        <v>0.9</v>
      </c>
      <c r="AC21" s="444">
        <f>AA21*AB21</f>
        <v>147400716.2400234</v>
      </c>
      <c r="AD21" s="152">
        <f>Z21</f>
        <v>1</v>
      </c>
      <c r="AE21" s="444">
        <f>AC21*AD21</f>
        <v>147400716.2400234</v>
      </c>
      <c r="AF21" s="152">
        <f>AB21</f>
        <v>0.9</v>
      </c>
      <c r="AG21" s="444">
        <f>AE21*AF21</f>
        <v>132660644.61602107</v>
      </c>
      <c r="AH21" s="152">
        <f>AD21</f>
        <v>1</v>
      </c>
      <c r="AI21" s="444">
        <f>AG21*AH21</f>
        <v>132660644.61602107</v>
      </c>
      <c r="AJ21" s="152">
        <f>AF21</f>
        <v>0.9</v>
      </c>
      <c r="AK21" s="444">
        <f>AI21*AJ21</f>
        <v>119394580.15441896</v>
      </c>
      <c r="AL21" s="152">
        <f>AH21</f>
        <v>1</v>
      </c>
      <c r="AM21" s="444">
        <f>AK21*AL21</f>
        <v>119394580.15441896</v>
      </c>
      <c r="AN21" s="161">
        <f>G21+I21+M21+Q21+U21+Y21+AC21+AG21+AK21</f>
        <v>1699053303.6661317</v>
      </c>
      <c r="AP21" s="594">
        <f>AJ21</f>
        <v>0.9</v>
      </c>
      <c r="AQ21" s="444">
        <f>AM21*AP21</f>
        <v>107455122.13897707</v>
      </c>
      <c r="AR21" s="623"/>
      <c r="AS21" s="624"/>
      <c r="AT21" s="628"/>
      <c r="AW21" s="473"/>
      <c r="BM21" s="976"/>
      <c r="BN21" s="976"/>
      <c r="BW21" s="913"/>
    </row>
    <row r="22" spans="1:77"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437"/>
      <c r="AK22" s="449" t="s">
        <v>738</v>
      </c>
      <c r="AL22" s="433"/>
      <c r="AM22" s="434"/>
      <c r="AN22" s="180"/>
      <c r="AP22" s="437"/>
      <c r="AQ22" s="449" t="s">
        <v>738</v>
      </c>
      <c r="AR22" s="623"/>
      <c r="AS22" s="623"/>
      <c r="AT22" s="628"/>
      <c r="AW22" s="473"/>
      <c r="BD22" s="1" t="s">
        <v>955</v>
      </c>
      <c r="BH22" s="581" t="s">
        <v>964</v>
      </c>
      <c r="BI22" s="75"/>
      <c r="BJ22" s="75"/>
      <c r="BK22" s="986"/>
      <c r="BL22" s="896"/>
      <c r="BM22" s="980"/>
      <c r="BN22" s="980"/>
      <c r="BO22" s="75"/>
      <c r="BQ22" s="75"/>
      <c r="BR22" s="76"/>
      <c r="BS22" s="75"/>
      <c r="BT22" s="76">
        <f>BT31</f>
        <v>1372242051.072</v>
      </c>
      <c r="BU22" s="75"/>
      <c r="BV22" s="910"/>
      <c r="BW22" s="304"/>
    </row>
    <row r="23" spans="1:77" ht="16.2" thickBot="1" x14ac:dyDescent="0.35">
      <c r="C23" s="141"/>
      <c r="D23" s="94">
        <f>SUM(D14:D21)</f>
        <v>1</v>
      </c>
      <c r="E23" s="371"/>
      <c r="F23" s="1093">
        <v>0.25</v>
      </c>
      <c r="G23" s="432">
        <f>E21*F23</f>
        <v>231133710.42132518</v>
      </c>
      <c r="H23" s="466">
        <v>0.9</v>
      </c>
      <c r="I23" s="432">
        <f>G23*H23</f>
        <v>208020339.37919265</v>
      </c>
      <c r="J23" s="466">
        <v>1</v>
      </c>
      <c r="K23" s="449">
        <f>I23*J23</f>
        <v>208020339.37919265</v>
      </c>
      <c r="L23" s="430">
        <f>H23</f>
        <v>0.9</v>
      </c>
      <c r="M23" s="449">
        <f>K23*L23</f>
        <v>187218305.44127339</v>
      </c>
      <c r="N23" s="430">
        <f>J23</f>
        <v>1</v>
      </c>
      <c r="O23" s="449">
        <f>M23*N23</f>
        <v>187218305.44127339</v>
      </c>
      <c r="P23" s="430">
        <f>L23</f>
        <v>0.9</v>
      </c>
      <c r="Q23" s="449">
        <f>O23*P23</f>
        <v>168496474.89714605</v>
      </c>
      <c r="R23" s="430">
        <f>N23</f>
        <v>1</v>
      </c>
      <c r="S23" s="449">
        <f>Q23*R23</f>
        <v>168496474.89714605</v>
      </c>
      <c r="T23" s="430">
        <f>P23</f>
        <v>0.9</v>
      </c>
      <c r="U23" s="449">
        <f>S23*T23</f>
        <v>151646827.40743145</v>
      </c>
      <c r="V23" s="430">
        <f>R23</f>
        <v>1</v>
      </c>
      <c r="W23" s="449">
        <f>U23*V23</f>
        <v>151646827.40743145</v>
      </c>
      <c r="X23" s="430">
        <f>T23</f>
        <v>0.9</v>
      </c>
      <c r="Y23" s="449">
        <f>W23*X23</f>
        <v>136482144.66668832</v>
      </c>
      <c r="Z23" s="430">
        <f>V23</f>
        <v>1</v>
      </c>
      <c r="AA23" s="449">
        <f>Y23*Z23</f>
        <v>136482144.66668832</v>
      </c>
      <c r="AB23" s="430">
        <f>X23</f>
        <v>0.9</v>
      </c>
      <c r="AC23" s="449">
        <f>AA23*AB23</f>
        <v>122833930.20001949</v>
      </c>
      <c r="AD23" s="430">
        <f>Z23</f>
        <v>1</v>
      </c>
      <c r="AE23" s="449">
        <f>AC23*AD23</f>
        <v>122833930.20001949</v>
      </c>
      <c r="AF23" s="430">
        <f>AB23</f>
        <v>0.9</v>
      </c>
      <c r="AG23" s="449">
        <f>AE23*AF23</f>
        <v>110550537.18001755</v>
      </c>
      <c r="AH23" s="430">
        <f>AD23</f>
        <v>1</v>
      </c>
      <c r="AI23" s="449">
        <f>AG23*AH23</f>
        <v>110550537.18001755</v>
      </c>
      <c r="AJ23" s="430">
        <f>AF23</f>
        <v>0.9</v>
      </c>
      <c r="AK23" s="449">
        <f>AI23*AJ23</f>
        <v>99495483.462015793</v>
      </c>
      <c r="AL23" s="430">
        <f>AH23</f>
        <v>1</v>
      </c>
      <c r="AM23" s="449">
        <f>AK23*AL23</f>
        <v>99495483.462015793</v>
      </c>
      <c r="AN23" s="161">
        <f>G23+I23+M23+Q23+U23+Y23+AC23+AG23+AK23</f>
        <v>1415877753.05511</v>
      </c>
      <c r="AP23" s="595">
        <f>AJ23</f>
        <v>0.9</v>
      </c>
      <c r="AQ23" s="449">
        <f>AM23*AP23</f>
        <v>89545935.115814209</v>
      </c>
      <c r="AR23" s="623"/>
      <c r="AS23" s="624"/>
      <c r="AT23" s="628"/>
      <c r="AW23" s="473"/>
      <c r="BB23" s="982" t="s">
        <v>989</v>
      </c>
      <c r="BC23" s="983">
        <v>2016</v>
      </c>
      <c r="BD23" s="910">
        <v>75543543000000</v>
      </c>
      <c r="BE23" s="984">
        <v>2.5000000000000001E-2</v>
      </c>
      <c r="BF23" s="910">
        <f>BD23*BE23</f>
        <v>1888588575000</v>
      </c>
      <c r="BH23" s="75"/>
      <c r="BI23" s="968">
        <v>2016</v>
      </c>
      <c r="BJ23" s="305">
        <f>BJ20</f>
        <v>10737418.24</v>
      </c>
      <c r="BK23" s="986">
        <v>64</v>
      </c>
      <c r="BL23" s="411">
        <f t="shared" ref="BL23:BL35" si="0">BK23*BJ23</f>
        <v>687194767.36000001</v>
      </c>
      <c r="BM23" s="980"/>
      <c r="BN23" s="980"/>
      <c r="BO23" s="305">
        <f t="shared" ref="BO23:BO35" si="1">BL23*BM23</f>
        <v>0</v>
      </c>
      <c r="BQ23" s="75"/>
      <c r="BR23" s="76"/>
      <c r="BS23" s="75"/>
      <c r="BT23" s="953">
        <v>25000</v>
      </c>
      <c r="BU23" s="968" t="s">
        <v>1349</v>
      </c>
      <c r="BV23" s="910"/>
      <c r="BW23" s="981">
        <v>2016</v>
      </c>
    </row>
    <row r="24" spans="1:77"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122"/>
      <c r="AK24" s="448" t="s">
        <v>294</v>
      </c>
      <c r="AL24" s="122"/>
      <c r="AM24" s="8"/>
      <c r="AN24" s="126"/>
      <c r="AP24" s="122"/>
      <c r="AQ24" s="448" t="s">
        <v>294</v>
      </c>
      <c r="AR24" s="623"/>
      <c r="AS24" s="623"/>
      <c r="AT24" s="628"/>
      <c r="AW24" s="473"/>
      <c r="BB24" s="982" t="s">
        <v>989</v>
      </c>
      <c r="BC24" s="983">
        <f>BC23+1</f>
        <v>2017</v>
      </c>
      <c r="BD24" s="910">
        <f>BD23+BF23</f>
        <v>77432131575000</v>
      </c>
      <c r="BE24" s="985">
        <f>BE23</f>
        <v>2.5000000000000001E-2</v>
      </c>
      <c r="BF24" s="910">
        <f>BD24*BE24</f>
        <v>1935803289375</v>
      </c>
      <c r="BH24" s="75"/>
      <c r="BI24" s="968">
        <f>BI23+1</f>
        <v>2017</v>
      </c>
      <c r="BJ24" s="305">
        <f>BJ20</f>
        <v>10737418.24</v>
      </c>
      <c r="BK24" s="986">
        <v>64</v>
      </c>
      <c r="BL24" s="411">
        <f t="shared" si="0"/>
        <v>687194767.36000001</v>
      </c>
      <c r="BM24" s="980"/>
      <c r="BN24" s="980"/>
      <c r="BO24" s="305">
        <f t="shared" si="1"/>
        <v>0</v>
      </c>
      <c r="BQ24" s="75"/>
      <c r="BR24" s="76"/>
      <c r="BS24" s="75"/>
      <c r="BT24" s="76">
        <f>BT22/BT23</f>
        <v>54889.682042879998</v>
      </c>
      <c r="BU24" s="75"/>
      <c r="BV24" s="910"/>
      <c r="BW24" s="981">
        <f>BW23+1</f>
        <v>2017</v>
      </c>
    </row>
    <row r="25" spans="1:77" ht="16.2" thickBot="1" x14ac:dyDescent="0.35">
      <c r="C25" s="122"/>
      <c r="D25" s="573" t="s">
        <v>1367</v>
      </c>
      <c r="E25" s="7"/>
      <c r="F25" s="1094">
        <v>0.2</v>
      </c>
      <c r="G25" s="99">
        <f>E21*F25</f>
        <v>184906968.33706015</v>
      </c>
      <c r="H25" s="467">
        <v>0.9</v>
      </c>
      <c r="I25" s="99">
        <f>G25*H25</f>
        <v>166416271.50335413</v>
      </c>
      <c r="J25" s="467">
        <v>1</v>
      </c>
      <c r="K25" s="443">
        <f>I25*J25</f>
        <v>166416271.50335413</v>
      </c>
      <c r="L25" s="153">
        <f>H25</f>
        <v>0.9</v>
      </c>
      <c r="M25" s="443">
        <f>K25*L25</f>
        <v>149774644.35301873</v>
      </c>
      <c r="N25" s="153">
        <f>J25</f>
        <v>1</v>
      </c>
      <c r="O25" s="443">
        <f>M25*N25</f>
        <v>149774644.35301873</v>
      </c>
      <c r="P25" s="153">
        <f>L25</f>
        <v>0.9</v>
      </c>
      <c r="Q25" s="443">
        <f>O25*P25</f>
        <v>134797179.91771686</v>
      </c>
      <c r="R25" s="153">
        <f>N25</f>
        <v>1</v>
      </c>
      <c r="S25" s="443">
        <f>Q25*R25</f>
        <v>134797179.91771686</v>
      </c>
      <c r="T25" s="153">
        <f>P25</f>
        <v>0.9</v>
      </c>
      <c r="U25" s="443">
        <f>S25*T25</f>
        <v>121317461.92594518</v>
      </c>
      <c r="V25" s="153">
        <f>R25</f>
        <v>1</v>
      </c>
      <c r="W25" s="443">
        <f>U25*V25</f>
        <v>121317461.92594518</v>
      </c>
      <c r="X25" s="153">
        <f>T25</f>
        <v>0.9</v>
      </c>
      <c r="Y25" s="443">
        <f>W25*X25</f>
        <v>109185715.73335066</v>
      </c>
      <c r="Z25" s="153">
        <f>V25</f>
        <v>1</v>
      </c>
      <c r="AA25" s="443">
        <f>Y25*Z25</f>
        <v>109185715.73335066</v>
      </c>
      <c r="AB25" s="153">
        <f>X25</f>
        <v>0.9</v>
      </c>
      <c r="AC25" s="443">
        <f>AA25*AB25</f>
        <v>98267144.160015598</v>
      </c>
      <c r="AD25" s="153">
        <f>Z25</f>
        <v>1</v>
      </c>
      <c r="AE25" s="443">
        <f>AC25*AD25</f>
        <v>98267144.160015598</v>
      </c>
      <c r="AF25" s="153">
        <f>AB25</f>
        <v>0.9</v>
      </c>
      <c r="AG25" s="443">
        <f>AE25*AF25</f>
        <v>88440429.74401404</v>
      </c>
      <c r="AH25" s="153">
        <f>AD25</f>
        <v>1</v>
      </c>
      <c r="AI25" s="443">
        <f>AG25*AH25</f>
        <v>88440429.74401404</v>
      </c>
      <c r="AJ25" s="153">
        <f>AF25</f>
        <v>0.9</v>
      </c>
      <c r="AK25" s="443">
        <f>AI25*AJ25</f>
        <v>79596386.76961264</v>
      </c>
      <c r="AL25" s="153">
        <f>AH25</f>
        <v>1</v>
      </c>
      <c r="AM25" s="443">
        <f>AK25*AL25</f>
        <v>79596386.76961264</v>
      </c>
      <c r="AN25" s="161">
        <f>G25+I25+M25+Q25+U25+Y25+AC25+AG25+AK25</f>
        <v>1132702202.444088</v>
      </c>
      <c r="AP25" s="596">
        <f>AJ25</f>
        <v>0.9</v>
      </c>
      <c r="AQ25" s="443">
        <f>AM25*AP25</f>
        <v>71636748.092651382</v>
      </c>
      <c r="AR25" s="623"/>
      <c r="AS25" s="624"/>
      <c r="AT25" s="628"/>
      <c r="AW25" s="473"/>
      <c r="BB25" s="982" t="s">
        <v>989</v>
      </c>
      <c r="BC25" s="983">
        <f t="shared" ref="BC25:BC35" si="2">BC24+1</f>
        <v>2018</v>
      </c>
      <c r="BD25" s="910">
        <f t="shared" ref="BD25:BD35" si="3">BD24+BF24</f>
        <v>79367934864375</v>
      </c>
      <c r="BE25" s="985">
        <f t="shared" ref="BE25:BE35" si="4">BE24</f>
        <v>2.5000000000000001E-2</v>
      </c>
      <c r="BF25" s="910">
        <f t="shared" ref="BF25:BF35" si="5">BD25*BE25</f>
        <v>1984198371609.375</v>
      </c>
      <c r="BH25" s="75"/>
      <c r="BI25" s="968">
        <f t="shared" ref="BI25:BI35" si="6">BI24+1</f>
        <v>2018</v>
      </c>
      <c r="BJ25" s="305">
        <f>BJ20</f>
        <v>10737418.24</v>
      </c>
      <c r="BK25" s="986">
        <v>64</v>
      </c>
      <c r="BL25" s="411">
        <f t="shared" si="0"/>
        <v>687194767.36000001</v>
      </c>
      <c r="BM25" s="980">
        <v>2.5000000000000001E-2</v>
      </c>
      <c r="BN25" s="980"/>
      <c r="BO25" s="305">
        <f t="shared" si="1"/>
        <v>17179869.184</v>
      </c>
      <c r="BP25" s="978" t="s">
        <v>1144</v>
      </c>
      <c r="BQ25" s="305">
        <f t="shared" ref="BQ25:BQ55" si="7">BO25</f>
        <v>17179869.184</v>
      </c>
      <c r="BR25" s="691">
        <f t="shared" ref="BR25:BR35" si="8">BQ25+BR24-BV25</f>
        <v>17179869.184</v>
      </c>
      <c r="BS25" s="893">
        <v>0.125</v>
      </c>
      <c r="BT25" s="973">
        <f>BR25*BS25</f>
        <v>2147483.648</v>
      </c>
      <c r="BU25" s="305">
        <f>AN58</f>
        <v>1111127962.8035061</v>
      </c>
      <c r="BV25" s="910">
        <f t="shared" ref="BV25:BV35" si="9">BL25*BN25</f>
        <v>0</v>
      </c>
      <c r="BW25" s="981">
        <f t="shared" ref="BW25:BW55" si="10">BW24+1</f>
        <v>2018</v>
      </c>
    </row>
    <row r="26" spans="1:77"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126"/>
      <c r="AP26" s="122"/>
      <c r="AQ26" s="452" t="s">
        <v>733</v>
      </c>
      <c r="AR26" s="623"/>
      <c r="AS26" s="623"/>
      <c r="AT26" s="628"/>
      <c r="AW26" s="473"/>
      <c r="BB26" s="982" t="s">
        <v>989</v>
      </c>
      <c r="BC26" s="983">
        <f t="shared" si="2"/>
        <v>2019</v>
      </c>
      <c r="BD26" s="910">
        <f t="shared" si="3"/>
        <v>81352133235984.375</v>
      </c>
      <c r="BE26" s="985">
        <f t="shared" si="4"/>
        <v>2.5000000000000001E-2</v>
      </c>
      <c r="BF26" s="910">
        <f t="shared" si="5"/>
        <v>2033803330899.6094</v>
      </c>
      <c r="BH26" s="75"/>
      <c r="BI26" s="968">
        <f t="shared" si="6"/>
        <v>2019</v>
      </c>
      <c r="BJ26" s="305">
        <f>BJ20</f>
        <v>10737418.24</v>
      </c>
      <c r="BK26" s="986">
        <v>64</v>
      </c>
      <c r="BL26" s="411">
        <f t="shared" si="0"/>
        <v>687194767.36000001</v>
      </c>
      <c r="BM26" s="980">
        <v>0.2</v>
      </c>
      <c r="BN26" s="980"/>
      <c r="BO26" s="305">
        <f t="shared" si="1"/>
        <v>137438953.472</v>
      </c>
      <c r="BP26" s="978" t="s">
        <v>1144</v>
      </c>
      <c r="BQ26" s="305">
        <f t="shared" si="7"/>
        <v>137438953.472</v>
      </c>
      <c r="BR26" s="691">
        <f t="shared" si="8"/>
        <v>154618822.65600002</v>
      </c>
      <c r="BS26" s="893">
        <f>BS25</f>
        <v>0.125</v>
      </c>
      <c r="BT26" s="973">
        <f t="shared" ref="BT26:BT55" si="11">BR26*BS26</f>
        <v>19327352.832000002</v>
      </c>
      <c r="BU26" s="305">
        <f>BU25</f>
        <v>1111127962.8035061</v>
      </c>
      <c r="BV26" s="910">
        <f t="shared" si="9"/>
        <v>0</v>
      </c>
      <c r="BW26" s="981">
        <f t="shared" si="10"/>
        <v>2019</v>
      </c>
    </row>
    <row r="27" spans="1:77" ht="19.2" thickBot="1" x14ac:dyDescent="0.5">
      <c r="C27" s="122"/>
      <c r="D27" s="574" t="s">
        <v>1369</v>
      </c>
      <c r="E27" s="7"/>
      <c r="F27" s="1096">
        <v>0.25</v>
      </c>
      <c r="G27" s="446">
        <f>E21*F27</f>
        <v>231133710.42132518</v>
      </c>
      <c r="H27" s="447">
        <v>0.25</v>
      </c>
      <c r="I27" s="446">
        <f>G27*H27</f>
        <v>57783427.605331294</v>
      </c>
      <c r="J27" s="447">
        <v>1</v>
      </c>
      <c r="K27" s="439">
        <f>I27*J27</f>
        <v>57783427.605331294</v>
      </c>
      <c r="L27" s="438">
        <f>H27</f>
        <v>0.25</v>
      </c>
      <c r="M27" s="439">
        <f>K27*L27</f>
        <v>14445856.901332824</v>
      </c>
      <c r="N27" s="438">
        <f>J27</f>
        <v>1</v>
      </c>
      <c r="O27" s="439">
        <f>M27*N27</f>
        <v>14445856.901332824</v>
      </c>
      <c r="P27" s="438">
        <f>L27</f>
        <v>0.25</v>
      </c>
      <c r="Q27" s="439">
        <f>O27*P27</f>
        <v>3611464.2253332059</v>
      </c>
      <c r="R27" s="438">
        <f>N27</f>
        <v>1</v>
      </c>
      <c r="S27" s="439">
        <f>Q27*R27</f>
        <v>3611464.2253332059</v>
      </c>
      <c r="T27" s="438">
        <f>P27</f>
        <v>0.25</v>
      </c>
      <c r="U27" s="439">
        <f>S27*T27</f>
        <v>902866.05633330147</v>
      </c>
      <c r="V27" s="438">
        <f>R27</f>
        <v>1</v>
      </c>
      <c r="W27" s="439">
        <f>U27*V27</f>
        <v>902866.05633330147</v>
      </c>
      <c r="X27" s="438">
        <f>T27</f>
        <v>0.25</v>
      </c>
      <c r="Y27" s="439">
        <f>W27*X27</f>
        <v>225716.51408332537</v>
      </c>
      <c r="Z27" s="438">
        <f>V27</f>
        <v>1</v>
      </c>
      <c r="AA27" s="439">
        <f>Y27*Z27</f>
        <v>225716.51408332537</v>
      </c>
      <c r="AB27" s="438">
        <f>X27</f>
        <v>0.25</v>
      </c>
      <c r="AC27" s="439">
        <f>AA27*AB27</f>
        <v>56429.128520831342</v>
      </c>
      <c r="AD27" s="438">
        <f>Z27</f>
        <v>1</v>
      </c>
      <c r="AE27" s="439">
        <f>AC27*AD27</f>
        <v>56429.128520831342</v>
      </c>
      <c r="AF27" s="438">
        <f>AB27</f>
        <v>0.25</v>
      </c>
      <c r="AG27" s="439">
        <f>AE27*AF27</f>
        <v>14107.282130207836</v>
      </c>
      <c r="AH27" s="438">
        <f>AD27</f>
        <v>1</v>
      </c>
      <c r="AI27" s="439">
        <f>AG27*AH27</f>
        <v>14107.282130207836</v>
      </c>
      <c r="AJ27" s="438">
        <f>AF27</f>
        <v>0.25</v>
      </c>
      <c r="AK27" s="439">
        <f>AI27*AJ27</f>
        <v>3526.8205325519589</v>
      </c>
      <c r="AL27" s="438">
        <f>AH27</f>
        <v>1</v>
      </c>
      <c r="AM27" s="439">
        <f>AK27*AL27</f>
        <v>3526.8205325519589</v>
      </c>
      <c r="AN27" s="161">
        <f>G27+I27+M27+Q27+U27+Y27+AC27+AG27+AK27</f>
        <v>308177104.95492268</v>
      </c>
      <c r="AP27" s="597">
        <f>AJ27</f>
        <v>0.25</v>
      </c>
      <c r="AQ27" s="439">
        <f>AM27*AP27</f>
        <v>881.70513313798972</v>
      </c>
      <c r="AR27" s="623"/>
      <c r="AS27" s="624"/>
      <c r="AT27" s="628"/>
      <c r="AW27" s="473"/>
      <c r="BB27" s="982" t="s">
        <v>989</v>
      </c>
      <c r="BC27" s="983">
        <f t="shared" si="2"/>
        <v>2020</v>
      </c>
      <c r="BD27" s="910">
        <f t="shared" si="3"/>
        <v>83385936566883.984</v>
      </c>
      <c r="BE27" s="985">
        <f t="shared" si="4"/>
        <v>2.5000000000000001E-2</v>
      </c>
      <c r="BF27" s="910">
        <f t="shared" si="5"/>
        <v>2084648414172.0996</v>
      </c>
      <c r="BG27" s="895" t="s">
        <v>1283</v>
      </c>
      <c r="BH27" s="75"/>
      <c r="BI27" s="968">
        <f t="shared" si="6"/>
        <v>2020</v>
      </c>
      <c r="BJ27" s="305">
        <f>BJ20</f>
        <v>10737418.24</v>
      </c>
      <c r="BK27" s="986">
        <v>64</v>
      </c>
      <c r="BL27" s="411">
        <f t="shared" si="0"/>
        <v>687194767.36000001</v>
      </c>
      <c r="BM27" s="980">
        <v>1.5</v>
      </c>
      <c r="BN27" s="980"/>
      <c r="BO27" s="305">
        <f t="shared" si="1"/>
        <v>1030792151.04</v>
      </c>
      <c r="BP27" s="978" t="s">
        <v>1144</v>
      </c>
      <c r="BQ27" s="305">
        <f t="shared" si="7"/>
        <v>1030792151.04</v>
      </c>
      <c r="BR27" s="691">
        <f t="shared" si="8"/>
        <v>1185410973.6960001</v>
      </c>
      <c r="BS27" s="893">
        <f t="shared" ref="BS27:BS31" si="12">BS26</f>
        <v>0.125</v>
      </c>
      <c r="BT27" s="973">
        <f t="shared" si="11"/>
        <v>148176371.71200001</v>
      </c>
      <c r="BU27" s="305">
        <f t="shared" ref="BU27:BU55" si="13">BU26</f>
        <v>1111127962.8035061</v>
      </c>
      <c r="BV27" s="910">
        <f t="shared" si="9"/>
        <v>0</v>
      </c>
      <c r="BW27" s="981">
        <f t="shared" si="10"/>
        <v>2020</v>
      </c>
    </row>
    <row r="28" spans="1:77"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437"/>
      <c r="AK28" s="434"/>
      <c r="AL28" s="142"/>
      <c r="AM28" s="434"/>
      <c r="AN28" s="180"/>
      <c r="AP28" s="122"/>
      <c r="AQ28" s="8"/>
      <c r="AR28" s="623"/>
      <c r="AS28" s="624"/>
      <c r="AT28" s="629">
        <f>AQ5</f>
        <v>1097556212.2935681</v>
      </c>
      <c r="AW28" s="473"/>
      <c r="BB28" s="982" t="s">
        <v>989</v>
      </c>
      <c r="BC28" s="983">
        <f t="shared" si="2"/>
        <v>2021</v>
      </c>
      <c r="BD28" s="910">
        <f t="shared" si="3"/>
        <v>85470584981056.078</v>
      </c>
      <c r="BE28" s="985">
        <f t="shared" si="4"/>
        <v>2.5000000000000001E-2</v>
      </c>
      <c r="BF28" s="910">
        <f t="shared" si="5"/>
        <v>2136764624526.4021</v>
      </c>
      <c r="BH28" s="75"/>
      <c r="BI28" s="968">
        <f t="shared" si="6"/>
        <v>2021</v>
      </c>
      <c r="BJ28" s="305">
        <f>BJ20</f>
        <v>10737418.24</v>
      </c>
      <c r="BK28" s="986">
        <v>64</v>
      </c>
      <c r="BL28" s="411">
        <f t="shared" si="0"/>
        <v>687194767.36000001</v>
      </c>
      <c r="BM28" s="980">
        <v>1.25</v>
      </c>
      <c r="BN28" s="980"/>
      <c r="BO28" s="305">
        <f t="shared" si="1"/>
        <v>858993459.20000005</v>
      </c>
      <c r="BP28" s="978" t="s">
        <v>1144</v>
      </c>
      <c r="BQ28" s="305">
        <f t="shared" si="7"/>
        <v>858993459.20000005</v>
      </c>
      <c r="BR28" s="691">
        <f t="shared" si="8"/>
        <v>2044404432.8960001</v>
      </c>
      <c r="BS28" s="893">
        <f t="shared" si="12"/>
        <v>0.125</v>
      </c>
      <c r="BT28" s="973">
        <f t="shared" si="11"/>
        <v>255550554.11200002</v>
      </c>
      <c r="BU28" s="305">
        <f t="shared" si="13"/>
        <v>1111127962.8035061</v>
      </c>
      <c r="BV28" s="910">
        <f t="shared" si="9"/>
        <v>0</v>
      </c>
      <c r="BW28" s="981">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15921475055.299576</v>
      </c>
      <c r="AP29" s="179"/>
      <c r="AQ29" s="161">
        <f>SUM(AQ10:AQ28)</f>
        <v>977665641.01611197</v>
      </c>
      <c r="AR29" s="691">
        <v>1</v>
      </c>
      <c r="AS29" s="183">
        <f>AQ29*AR29</f>
        <v>977665641.01611197</v>
      </c>
      <c r="AT29" s="645">
        <f>AS29+AT28</f>
        <v>2075221853.30968</v>
      </c>
      <c r="AU29" s="253" t="s">
        <v>1383</v>
      </c>
      <c r="AW29" s="473"/>
      <c r="BB29" s="982" t="s">
        <v>989</v>
      </c>
      <c r="BC29" s="983">
        <f>BC28+1</f>
        <v>2022</v>
      </c>
      <c r="BD29" s="910">
        <f>BD28+BF28</f>
        <v>87607349605582.484</v>
      </c>
      <c r="BE29" s="985">
        <f>BE28</f>
        <v>2.5000000000000001E-2</v>
      </c>
      <c r="BF29" s="910">
        <f t="shared" si="5"/>
        <v>2190183740139.5623</v>
      </c>
      <c r="BH29" s="75"/>
      <c r="BI29" s="968">
        <f>BI28+1</f>
        <v>2022</v>
      </c>
      <c r="BJ29" s="305">
        <f>BJ20</f>
        <v>10737418.24</v>
      </c>
      <c r="BK29" s="986">
        <v>64</v>
      </c>
      <c r="BL29" s="411">
        <f t="shared" si="0"/>
        <v>687194767.36000001</v>
      </c>
      <c r="BM29" s="980">
        <v>2</v>
      </c>
      <c r="BN29" s="980"/>
      <c r="BO29" s="305">
        <f t="shared" si="1"/>
        <v>1374389534.72</v>
      </c>
      <c r="BP29" s="978" t="s">
        <v>1144</v>
      </c>
      <c r="BQ29" s="305">
        <f t="shared" si="7"/>
        <v>1374389534.72</v>
      </c>
      <c r="BR29" s="691">
        <f t="shared" si="8"/>
        <v>3418793967.6160002</v>
      </c>
      <c r="BS29" s="893">
        <f t="shared" si="12"/>
        <v>0.125</v>
      </c>
      <c r="BT29" s="973">
        <f t="shared" si="11"/>
        <v>427349245.95200002</v>
      </c>
      <c r="BU29" s="305">
        <f t="shared" si="13"/>
        <v>1111127962.8035061</v>
      </c>
      <c r="BV29" s="910">
        <f t="shared" si="9"/>
        <v>0</v>
      </c>
      <c r="BW29" s="981">
        <f>BW28+1</f>
        <v>2022</v>
      </c>
    </row>
    <row r="30" spans="1:77" x14ac:dyDescent="0.3">
      <c r="C30" s="158"/>
      <c r="D30" s="10"/>
      <c r="E30" s="10"/>
      <c r="F30" s="10"/>
      <c r="G30" s="159">
        <f>SUM(G10:G29)</f>
        <v>2832984427.6603756</v>
      </c>
      <c r="H30" s="599"/>
      <c r="I30" s="172">
        <f>SUM(I10:I29)</f>
        <v>2367959488.5788655</v>
      </c>
      <c r="J30" s="158"/>
      <c r="K30" s="11"/>
      <c r="L30" s="160"/>
      <c r="M30" s="161">
        <f>SUM(M10:M29)</f>
        <v>2077859519.5067084</v>
      </c>
      <c r="N30" s="158"/>
      <c r="O30" s="11"/>
      <c r="P30" s="598"/>
      <c r="Q30" s="172">
        <f>SUM(Q10:Q29)</f>
        <v>1852811364.4347682</v>
      </c>
      <c r="R30" s="158"/>
      <c r="S30" s="11"/>
      <c r="T30" s="160"/>
      <c r="U30" s="161">
        <f>SUM(U10:U29)</f>
        <v>1661246578.1771233</v>
      </c>
      <c r="V30" s="158"/>
      <c r="W30" s="11"/>
      <c r="X30" s="598"/>
      <c r="Y30" s="172">
        <f>SUM(Y10:Y29)</f>
        <v>1492566958.3889441</v>
      </c>
      <c r="Z30" s="158"/>
      <c r="AA30" s="11"/>
      <c r="AB30" s="160"/>
      <c r="AC30" s="161">
        <f>SUM(AC10:AC29)</f>
        <v>1342179497.29897</v>
      </c>
      <c r="AD30" s="158"/>
      <c r="AE30" s="11"/>
      <c r="AF30" s="598"/>
      <c r="AG30" s="172">
        <f>SUM(AG10:AG29)</f>
        <v>1207432843.8770719</v>
      </c>
      <c r="AH30" s="158"/>
      <c r="AI30" s="11"/>
      <c r="AJ30" s="179"/>
      <c r="AK30" s="161">
        <f>SUM(AK10:AK29)</f>
        <v>1086434377.3767486</v>
      </c>
      <c r="AL30" s="158"/>
      <c r="AM30" s="11"/>
      <c r="AN30" s="161">
        <f>G30+I30+M30+Q30+U30+Y30+AC30+AG30+AK30</f>
        <v>15921475055.299576</v>
      </c>
      <c r="AT30" s="253" t="s">
        <v>1383</v>
      </c>
      <c r="AW30" s="473"/>
      <c r="BB30" s="982" t="s">
        <v>989</v>
      </c>
      <c r="BC30" s="983">
        <f>BC29+1</f>
        <v>2023</v>
      </c>
      <c r="BD30" s="910">
        <f>BD29+BF29</f>
        <v>89797533345722.047</v>
      </c>
      <c r="BE30" s="985">
        <f>BE29</f>
        <v>2.5000000000000001E-2</v>
      </c>
      <c r="BF30" s="910">
        <f t="shared" si="5"/>
        <v>2244938333643.0513</v>
      </c>
      <c r="BH30" s="75"/>
      <c r="BI30" s="968">
        <f>BI29+1</f>
        <v>2023</v>
      </c>
      <c r="BJ30" s="305">
        <f>BJ20</f>
        <v>10737418.24</v>
      </c>
      <c r="BK30" s="986">
        <v>64</v>
      </c>
      <c r="BL30" s="411">
        <f t="shared" si="0"/>
        <v>687194767.36000001</v>
      </c>
      <c r="BM30" s="980">
        <v>3</v>
      </c>
      <c r="BN30" s="980"/>
      <c r="BO30" s="305">
        <f t="shared" si="1"/>
        <v>2061584302.0799999</v>
      </c>
      <c r="BP30" s="978" t="s">
        <v>1144</v>
      </c>
      <c r="BQ30" s="305">
        <f t="shared" si="7"/>
        <v>2061584302.0799999</v>
      </c>
      <c r="BR30" s="691">
        <f t="shared" si="8"/>
        <v>5480378269.6960001</v>
      </c>
      <c r="BS30" s="893">
        <f t="shared" si="12"/>
        <v>0.125</v>
      </c>
      <c r="BT30" s="973">
        <f t="shared" si="11"/>
        <v>685047283.71200001</v>
      </c>
      <c r="BU30" s="305">
        <f t="shared" si="13"/>
        <v>1111127962.8035061</v>
      </c>
      <c r="BV30" s="910">
        <f t="shared" si="9"/>
        <v>0</v>
      </c>
      <c r="BW30" s="981">
        <f>BW29+1</f>
        <v>2023</v>
      </c>
    </row>
    <row r="31" spans="1:77" x14ac:dyDescent="0.3">
      <c r="I31" s="30"/>
      <c r="Q31" s="30"/>
      <c r="Y31" s="30"/>
      <c r="AN31" s="999" t="s">
        <v>1355</v>
      </c>
      <c r="AP31" s="77" t="s">
        <v>1382</v>
      </c>
      <c r="AQ31" s="567">
        <f>AN34</f>
        <v>5.872915658143679</v>
      </c>
      <c r="AR31" s="76"/>
      <c r="AS31" s="76" t="s">
        <v>957</v>
      </c>
      <c r="AW31" s="473"/>
      <c r="BB31" s="982" t="s">
        <v>989</v>
      </c>
      <c r="BC31" s="983">
        <f t="shared" si="2"/>
        <v>2024</v>
      </c>
      <c r="BD31" s="910">
        <f t="shared" si="3"/>
        <v>92042471679365.094</v>
      </c>
      <c r="BE31" s="985">
        <f t="shared" si="4"/>
        <v>2.5000000000000001E-2</v>
      </c>
      <c r="BF31" s="910">
        <f t="shared" si="5"/>
        <v>2301061791984.1274</v>
      </c>
      <c r="BG31" s="895" t="s">
        <v>1282</v>
      </c>
      <c r="BH31" s="75"/>
      <c r="BI31" s="968">
        <f t="shared" si="6"/>
        <v>2024</v>
      </c>
      <c r="BJ31" s="305">
        <f>BJ20</f>
        <v>10737418.24</v>
      </c>
      <c r="BK31" s="986">
        <v>64</v>
      </c>
      <c r="BL31" s="411">
        <f t="shared" si="0"/>
        <v>687194767.36000001</v>
      </c>
      <c r="BM31" s="980">
        <v>8</v>
      </c>
      <c r="BN31" s="980"/>
      <c r="BO31" s="305">
        <f t="shared" si="1"/>
        <v>5497558138.8800001</v>
      </c>
      <c r="BP31" s="978" t="s">
        <v>1144</v>
      </c>
      <c r="BQ31" s="305">
        <f t="shared" si="7"/>
        <v>5497558138.8800001</v>
      </c>
      <c r="BR31" s="691">
        <f t="shared" si="8"/>
        <v>10977936408.576</v>
      </c>
      <c r="BS31" s="893">
        <f t="shared" si="12"/>
        <v>0.125</v>
      </c>
      <c r="BT31" s="995">
        <f t="shared" si="11"/>
        <v>1372242051.072</v>
      </c>
      <c r="BU31" s="305">
        <f t="shared" si="13"/>
        <v>1111127962.8035061</v>
      </c>
      <c r="BV31" s="910">
        <f t="shared" si="9"/>
        <v>0</v>
      </c>
      <c r="BW31" s="981">
        <f t="shared" si="10"/>
        <v>2024</v>
      </c>
      <c r="BX31" s="1000">
        <v>0.125</v>
      </c>
      <c r="BY31" s="1001">
        <f>BT31*BS31</f>
        <v>171530256.384</v>
      </c>
    </row>
    <row r="32" spans="1:77" x14ac:dyDescent="0.3">
      <c r="A32" s="690"/>
      <c r="B32" s="690"/>
      <c r="I32" s="690"/>
      <c r="AM32" s="1150" t="s">
        <v>306</v>
      </c>
      <c r="AN32" s="182">
        <f>E8</f>
        <v>5665968855.3207512</v>
      </c>
      <c r="AP32" s="736">
        <f>AN47</f>
        <v>5665968855.3207512</v>
      </c>
      <c r="AQ32" s="568">
        <f>AP32*AN34</f>
        <v>33275757208.967655</v>
      </c>
      <c r="AR32" s="208">
        <f>AO49</f>
        <v>0.66163000000000005</v>
      </c>
      <c r="AS32" s="691">
        <f>AQ32*AR32</f>
        <v>22016239242.16927</v>
      </c>
      <c r="AW32" s="473"/>
      <c r="BB32" s="332" t="s">
        <v>989</v>
      </c>
      <c r="BC32" s="953">
        <f>BC31+1</f>
        <v>2025</v>
      </c>
      <c r="BD32" s="691">
        <f>BD31+BF31</f>
        <v>94343533471349.219</v>
      </c>
      <c r="BE32" s="894">
        <f>BE31</f>
        <v>2.5000000000000001E-2</v>
      </c>
      <c r="BF32" s="691">
        <f t="shared" si="5"/>
        <v>2358588336783.7305</v>
      </c>
      <c r="BH32" s="332" t="s">
        <v>963</v>
      </c>
      <c r="BI32" s="953">
        <f>BI31+1</f>
        <v>2025</v>
      </c>
      <c r="BJ32" s="691">
        <f>BJ20</f>
        <v>10737418.24</v>
      </c>
      <c r="BK32" s="987">
        <v>64</v>
      </c>
      <c r="BL32" s="875">
        <f t="shared" si="0"/>
        <v>687194767.36000001</v>
      </c>
      <c r="BM32" s="977"/>
      <c r="BN32" s="977"/>
      <c r="BO32" s="691">
        <f t="shared" si="1"/>
        <v>0</v>
      </c>
      <c r="BQ32" s="691">
        <f t="shared" si="7"/>
        <v>0</v>
      </c>
      <c r="BR32" s="691">
        <f t="shared" si="8"/>
        <v>10977936408.576</v>
      </c>
      <c r="BS32" s="894">
        <f>BS31</f>
        <v>0.125</v>
      </c>
      <c r="BT32" s="975">
        <f t="shared" si="11"/>
        <v>1372242051.072</v>
      </c>
      <c r="BU32" s="691">
        <f t="shared" si="13"/>
        <v>1111127962.8035061</v>
      </c>
      <c r="BV32" s="183">
        <f t="shared" si="9"/>
        <v>0</v>
      </c>
      <c r="BW32" s="949">
        <f>BW31+1</f>
        <v>2025</v>
      </c>
    </row>
    <row r="33" spans="1:75" x14ac:dyDescent="0.3">
      <c r="I33" s="690"/>
      <c r="J33" s="18"/>
      <c r="K33" s="690"/>
      <c r="AM33" s="122" t="s">
        <v>307</v>
      </c>
      <c r="AN33" s="183">
        <f>AN29+AN5</f>
        <v>33275757208.967655</v>
      </c>
      <c r="AQ33" s="248"/>
      <c r="AS33" s="181"/>
      <c r="AW33" s="473"/>
      <c r="BB33" s="332" t="s">
        <v>989</v>
      </c>
      <c r="BC33" s="953">
        <f t="shared" si="2"/>
        <v>2026</v>
      </c>
      <c r="BD33" s="691">
        <f t="shared" si="3"/>
        <v>96702121808132.953</v>
      </c>
      <c r="BE33" s="894">
        <f t="shared" si="4"/>
        <v>2.5000000000000001E-2</v>
      </c>
      <c r="BF33" s="691">
        <f t="shared" si="5"/>
        <v>2417553045203.3237</v>
      </c>
      <c r="BH33" s="332"/>
      <c r="BI33" s="953">
        <f t="shared" si="6"/>
        <v>2026</v>
      </c>
      <c r="BJ33" s="691">
        <f>BJ20</f>
        <v>10737418.24</v>
      </c>
      <c r="BK33" s="987">
        <v>64</v>
      </c>
      <c r="BL33" s="875">
        <f t="shared" si="0"/>
        <v>687194767.36000001</v>
      </c>
      <c r="BM33" s="977"/>
      <c r="BN33" s="977"/>
      <c r="BO33" s="691">
        <f t="shared" si="1"/>
        <v>0</v>
      </c>
      <c r="BQ33" s="691">
        <f t="shared" si="7"/>
        <v>0</v>
      </c>
      <c r="BR33" s="691">
        <f t="shared" si="8"/>
        <v>10977936408.576</v>
      </c>
      <c r="BS33" s="894">
        <f>BS32</f>
        <v>0.125</v>
      </c>
      <c r="BT33" s="975">
        <f t="shared" si="11"/>
        <v>1372242051.072</v>
      </c>
      <c r="BU33" s="691">
        <f t="shared" si="13"/>
        <v>1111127962.8035061</v>
      </c>
      <c r="BV33" s="183">
        <f t="shared" si="9"/>
        <v>0</v>
      </c>
      <c r="BW33" s="949">
        <f t="shared" si="10"/>
        <v>2026</v>
      </c>
    </row>
    <row r="34" spans="1:75" x14ac:dyDescent="0.3">
      <c r="A34" s="690"/>
      <c r="B34" s="690"/>
      <c r="C34" s="900" t="s">
        <v>1036</v>
      </c>
      <c r="D34" s="901" t="s">
        <v>1287</v>
      </c>
      <c r="E34" s="4"/>
      <c r="F34" s="4"/>
      <c r="G34" s="5"/>
      <c r="AM34" s="1150" t="s">
        <v>310</v>
      </c>
      <c r="AN34" s="184">
        <f>AN33/AN32</f>
        <v>5.872915658143679</v>
      </c>
      <c r="AO34" s="239"/>
      <c r="AP34" s="239" t="s">
        <v>974</v>
      </c>
      <c r="AQ34" s="248" t="s">
        <v>1384</v>
      </c>
      <c r="AR34" s="239"/>
      <c r="AS34" s="181"/>
      <c r="AW34" s="473"/>
      <c r="BB34" s="332" t="s">
        <v>989</v>
      </c>
      <c r="BC34" s="953">
        <f t="shared" si="2"/>
        <v>2027</v>
      </c>
      <c r="BD34" s="691">
        <f t="shared" si="3"/>
        <v>99119674853336.281</v>
      </c>
      <c r="BE34" s="894">
        <f t="shared" si="4"/>
        <v>2.5000000000000001E-2</v>
      </c>
      <c r="BF34" s="691">
        <f t="shared" si="5"/>
        <v>2477991871333.4072</v>
      </c>
      <c r="BH34" s="76"/>
      <c r="BI34" s="953">
        <f t="shared" si="6"/>
        <v>2027</v>
      </c>
      <c r="BJ34" s="691">
        <f>BJ20</f>
        <v>10737418.24</v>
      </c>
      <c r="BK34" s="987">
        <v>64</v>
      </c>
      <c r="BL34" s="875">
        <f t="shared" si="0"/>
        <v>687194767.36000001</v>
      </c>
      <c r="BM34" s="977"/>
      <c r="BN34" s="977"/>
      <c r="BO34" s="691">
        <f t="shared" si="1"/>
        <v>0</v>
      </c>
      <c r="BQ34" s="691">
        <f t="shared" si="7"/>
        <v>0</v>
      </c>
      <c r="BR34" s="691">
        <f t="shared" si="8"/>
        <v>10977936408.576</v>
      </c>
      <c r="BS34" s="894">
        <f t="shared" ref="BS34:BS55" si="14">BS33</f>
        <v>0.125</v>
      </c>
      <c r="BT34" s="975">
        <f t="shared" si="11"/>
        <v>1372242051.072</v>
      </c>
      <c r="BU34" s="691">
        <f t="shared" si="13"/>
        <v>1111127962.8035061</v>
      </c>
      <c r="BV34" s="183">
        <f t="shared" si="9"/>
        <v>0</v>
      </c>
      <c r="BW34" s="949">
        <f t="shared" si="10"/>
        <v>2027</v>
      </c>
    </row>
    <row r="35" spans="1:75" x14ac:dyDescent="0.3">
      <c r="A35" s="690"/>
      <c r="B35" s="690"/>
      <c r="C35" s="122" t="s">
        <v>732</v>
      </c>
      <c r="D35" s="287" t="s">
        <v>1288</v>
      </c>
      <c r="E35" s="7" t="s">
        <v>1289</v>
      </c>
      <c r="F35" s="7"/>
      <c r="G35" s="8"/>
      <c r="AL35" s="38"/>
      <c r="AM35" s="1150" t="s">
        <v>785</v>
      </c>
      <c r="AN35" s="472"/>
      <c r="AO35" s="473"/>
      <c r="AP35" s="472"/>
      <c r="AQ35" s="472">
        <f>AP35-AN35</f>
        <v>0</v>
      </c>
      <c r="AR35" s="473"/>
      <c r="AS35" s="563"/>
      <c r="AT35" s="473"/>
      <c r="AU35" s="473"/>
      <c r="AV35" s="473"/>
      <c r="AW35" s="473"/>
      <c r="AX35" s="88"/>
      <c r="AY35" s="88"/>
      <c r="AZ35" s="88"/>
      <c r="BA35" s="88"/>
      <c r="BB35" s="332" t="s">
        <v>989</v>
      </c>
      <c r="BC35" s="953">
        <f t="shared" si="2"/>
        <v>2028</v>
      </c>
      <c r="BD35" s="691">
        <f t="shared" si="3"/>
        <v>101597666724669.69</v>
      </c>
      <c r="BE35" s="894">
        <f t="shared" si="4"/>
        <v>2.5000000000000001E-2</v>
      </c>
      <c r="BF35" s="691">
        <f t="shared" si="5"/>
        <v>2539941668116.7422</v>
      </c>
      <c r="BH35" s="76"/>
      <c r="BI35" s="953">
        <f t="shared" si="6"/>
        <v>2028</v>
      </c>
      <c r="BJ35" s="691">
        <f>BJ20</f>
        <v>10737418.24</v>
      </c>
      <c r="BK35" s="987">
        <v>64</v>
      </c>
      <c r="BL35" s="875">
        <f t="shared" si="0"/>
        <v>687194767.36000001</v>
      </c>
      <c r="BM35" s="977"/>
      <c r="BN35" s="977"/>
      <c r="BO35" s="691">
        <f t="shared" si="1"/>
        <v>0</v>
      </c>
      <c r="BQ35" s="691">
        <f t="shared" si="7"/>
        <v>0</v>
      </c>
      <c r="BR35" s="691">
        <f t="shared" si="8"/>
        <v>10977936408.576</v>
      </c>
      <c r="BS35" s="894">
        <f t="shared" si="14"/>
        <v>0.125</v>
      </c>
      <c r="BT35" s="975">
        <f t="shared" si="11"/>
        <v>1372242051.072</v>
      </c>
      <c r="BU35" s="691">
        <f t="shared" si="13"/>
        <v>1111127962.8035061</v>
      </c>
      <c r="BV35" s="183">
        <f t="shared" si="9"/>
        <v>0</v>
      </c>
      <c r="BW35" s="949">
        <f t="shared" si="10"/>
        <v>2028</v>
      </c>
    </row>
    <row r="36" spans="1:75" x14ac:dyDescent="0.3">
      <c r="A36" s="690"/>
      <c r="B36" s="690"/>
      <c r="C36" s="1151">
        <v>32</v>
      </c>
      <c r="D36" s="411">
        <f>'POP Dimensions'!J15</f>
        <v>21474836.48</v>
      </c>
      <c r="E36" s="411">
        <f>C36*D36</f>
        <v>687194767.36000001</v>
      </c>
      <c r="F36" s="896"/>
      <c r="G36" s="902" t="s">
        <v>732</v>
      </c>
      <c r="AL36" s="38"/>
      <c r="AM36" s="1206" t="s">
        <v>1445</v>
      </c>
      <c r="AN36" s="1207">
        <f>'POP Dimensions'!L16</f>
        <v>343597383.68000001</v>
      </c>
      <c r="AO36" s="88"/>
      <c r="AP36" s="511"/>
      <c r="AQ36" s="511"/>
      <c r="AR36" s="88"/>
      <c r="AS36" s="181"/>
      <c r="AT36" s="88"/>
      <c r="AU36" s="88"/>
      <c r="AV36" s="616">
        <f>AS47*AX47</f>
        <v>213040318115.44345</v>
      </c>
      <c r="AW36" s="617" t="s">
        <v>778</v>
      </c>
      <c r="AX36" s="88"/>
      <c r="AY36" s="88"/>
      <c r="AZ36" s="88"/>
      <c r="BA36" s="88"/>
      <c r="BB36" s="332" t="s">
        <v>989</v>
      </c>
      <c r="BC36" s="953">
        <f>BC35+1</f>
        <v>2029</v>
      </c>
      <c r="BD36" s="691">
        <f>BD35+BF35</f>
        <v>104137608392786.44</v>
      </c>
      <c r="BE36" s="894">
        <f>BE35</f>
        <v>2.5000000000000001E-2</v>
      </c>
      <c r="BF36" s="691">
        <f>BD36*BE36</f>
        <v>2603440209819.6611</v>
      </c>
      <c r="BH36" s="76"/>
      <c r="BI36" s="953">
        <f>BI35+1</f>
        <v>2029</v>
      </c>
      <c r="BJ36" s="691">
        <f>BJ20</f>
        <v>10737418.24</v>
      </c>
      <c r="BK36" s="987">
        <v>64</v>
      </c>
      <c r="BL36" s="875">
        <f>BK36*BJ36</f>
        <v>687194767.36000001</v>
      </c>
      <c r="BM36" s="977"/>
      <c r="BN36" s="977"/>
      <c r="BO36" s="691">
        <f>BL36*BM36</f>
        <v>0</v>
      </c>
      <c r="BQ36" s="691">
        <f t="shared" si="7"/>
        <v>0</v>
      </c>
      <c r="BR36" s="691">
        <f>BQ36+BR35-BV36</f>
        <v>10977936408.576</v>
      </c>
      <c r="BS36" s="894">
        <f t="shared" si="14"/>
        <v>0.125</v>
      </c>
      <c r="BT36" s="975">
        <f t="shared" si="11"/>
        <v>1372242051.072</v>
      </c>
      <c r="BU36" s="691">
        <f t="shared" si="13"/>
        <v>1111127962.8035061</v>
      </c>
      <c r="BV36" s="183">
        <f>BL36*BN36</f>
        <v>0</v>
      </c>
      <c r="BW36" s="949">
        <f t="shared" si="10"/>
        <v>2029</v>
      </c>
    </row>
    <row r="37" spans="1:75" x14ac:dyDescent="0.3">
      <c r="A37" s="690"/>
      <c r="B37" s="690"/>
      <c r="C37" s="1152">
        <f>C36*2</f>
        <v>64</v>
      </c>
      <c r="D37" s="897">
        <f>D36</f>
        <v>21474836.48</v>
      </c>
      <c r="E37" s="897">
        <f t="shared" ref="E37:E43" si="15">C37*D37</f>
        <v>1374389534.72</v>
      </c>
      <c r="F37" s="874"/>
      <c r="G37" s="903" t="s">
        <v>732</v>
      </c>
      <c r="AL37" s="38"/>
      <c r="AM37" s="1206" t="s">
        <v>1444</v>
      </c>
      <c r="AN37" s="1207">
        <f>'POP Dimensions'!H17</f>
        <v>687194767.36000001</v>
      </c>
      <c r="AO37" s="88"/>
      <c r="AP37" s="511"/>
      <c r="AQ37" s="511"/>
      <c r="AR37" s="88"/>
      <c r="AS37" s="181"/>
      <c r="AT37" s="88"/>
      <c r="AU37" s="88"/>
      <c r="AV37" s="616"/>
      <c r="AW37" s="617"/>
      <c r="AX37" s="88"/>
      <c r="AY37" s="88"/>
      <c r="AZ37" s="88"/>
      <c r="BA37" s="88"/>
      <c r="BB37" s="332" t="s">
        <v>989</v>
      </c>
      <c r="BC37" s="953">
        <f>BC36+1</f>
        <v>2030</v>
      </c>
      <c r="BD37" s="691">
        <f>BD36+BF36</f>
        <v>106741048602606.09</v>
      </c>
      <c r="BE37" s="894">
        <f>BE36</f>
        <v>2.5000000000000001E-2</v>
      </c>
      <c r="BF37" s="691">
        <f>BD37*BE37</f>
        <v>2668526215065.1523</v>
      </c>
      <c r="BH37" s="76"/>
      <c r="BI37" s="953">
        <f>BI36+1</f>
        <v>2030</v>
      </c>
      <c r="BJ37" s="691">
        <f>BJ20</f>
        <v>10737418.24</v>
      </c>
      <c r="BK37" s="987">
        <v>64</v>
      </c>
      <c r="BL37" s="875">
        <f t="shared" ref="BL37:BL55" si="16">BK37*BJ37</f>
        <v>687194767.36000001</v>
      </c>
      <c r="BM37" s="977"/>
      <c r="BN37" s="977"/>
      <c r="BO37" s="691">
        <f t="shared" ref="BO37:BO55" si="17">BL37*BM37</f>
        <v>0</v>
      </c>
      <c r="BQ37" s="691">
        <f t="shared" si="7"/>
        <v>0</v>
      </c>
      <c r="BR37" s="691">
        <f>BQ37+BR36-BV37</f>
        <v>10977936408.576</v>
      </c>
      <c r="BS37" s="894">
        <f t="shared" si="14"/>
        <v>0.125</v>
      </c>
      <c r="BT37" s="975">
        <f t="shared" si="11"/>
        <v>1372242051.072</v>
      </c>
      <c r="BU37" s="691">
        <f t="shared" si="13"/>
        <v>1111127962.8035061</v>
      </c>
      <c r="BV37" s="183">
        <f>BL37*BN37</f>
        <v>0</v>
      </c>
      <c r="BW37" s="949">
        <f t="shared" si="10"/>
        <v>2030</v>
      </c>
    </row>
    <row r="38" spans="1:75" x14ac:dyDescent="0.3">
      <c r="A38" s="690"/>
      <c r="B38" s="690"/>
      <c r="C38" s="1121">
        <f>C37*2</f>
        <v>128</v>
      </c>
      <c r="D38" s="875">
        <f t="shared" ref="D38:D43" si="18">D37</f>
        <v>21474836.48</v>
      </c>
      <c r="E38" s="875">
        <f t="shared" si="15"/>
        <v>2748779069.4400001</v>
      </c>
      <c r="F38" s="410"/>
      <c r="G38" s="126" t="s">
        <v>732</v>
      </c>
      <c r="AI38" s="1162" t="s">
        <v>1435</v>
      </c>
      <c r="AJ38" s="1160"/>
      <c r="AK38" s="1160"/>
      <c r="AL38" s="1160"/>
      <c r="AM38" s="1161" t="s">
        <v>1284</v>
      </c>
      <c r="AN38" s="1164">
        <f>'POP Dimensions'!L16</f>
        <v>343597383.68000001</v>
      </c>
      <c r="AO38" s="88"/>
      <c r="AP38" s="88"/>
      <c r="AQ38" s="253"/>
      <c r="AR38" s="88"/>
      <c r="AS38" s="181"/>
      <c r="BB38" s="332" t="s">
        <v>989</v>
      </c>
      <c r="BC38" s="953">
        <f>BC37+1</f>
        <v>2031</v>
      </c>
      <c r="BD38" s="691">
        <f>BD37+BF37</f>
        <v>109409574817671.25</v>
      </c>
      <c r="BE38" s="894">
        <f>BE37</f>
        <v>2.5000000000000001E-2</v>
      </c>
      <c r="BF38" s="691">
        <f>BD38*BE38</f>
        <v>2735239370441.7813</v>
      </c>
      <c r="BH38" s="76"/>
      <c r="BI38" s="953">
        <f t="shared" ref="BI38:BI55" si="19">BI37+1</f>
        <v>2031</v>
      </c>
      <c r="BJ38" s="691">
        <f>BJ20</f>
        <v>10737418.24</v>
      </c>
      <c r="BK38" s="987">
        <v>64</v>
      </c>
      <c r="BL38" s="875">
        <f t="shared" si="16"/>
        <v>687194767.36000001</v>
      </c>
      <c r="BM38" s="977"/>
      <c r="BN38" s="977"/>
      <c r="BO38" s="691">
        <f t="shared" si="17"/>
        <v>0</v>
      </c>
      <c r="BQ38" s="691">
        <f t="shared" si="7"/>
        <v>0</v>
      </c>
      <c r="BR38" s="691">
        <f t="shared" ref="BR38:BR55" si="20">BQ38+BR37-BV38</f>
        <v>10977936408.576</v>
      </c>
      <c r="BS38" s="894">
        <f t="shared" si="14"/>
        <v>0.125</v>
      </c>
      <c r="BT38" s="975">
        <f t="shared" si="11"/>
        <v>1372242051.072</v>
      </c>
      <c r="BU38" s="691">
        <f t="shared" si="13"/>
        <v>1111127962.8035061</v>
      </c>
      <c r="BV38" s="183">
        <f t="shared" ref="BV38:BV55" si="21">BL38*BN38</f>
        <v>0</v>
      </c>
      <c r="BW38" s="949">
        <f t="shared" si="10"/>
        <v>2031</v>
      </c>
    </row>
    <row r="39" spans="1:75" x14ac:dyDescent="0.3">
      <c r="A39" s="690"/>
      <c r="B39" s="690"/>
      <c r="C39" s="1151">
        <f>C38*2</f>
        <v>256</v>
      </c>
      <c r="D39" s="411">
        <f t="shared" si="18"/>
        <v>21474836.48</v>
      </c>
      <c r="E39" s="411">
        <f t="shared" si="15"/>
        <v>5497558138.8800001</v>
      </c>
      <c r="F39" s="896"/>
      <c r="G39" s="902" t="s">
        <v>732</v>
      </c>
      <c r="AI39" s="1163" t="s">
        <v>1436</v>
      </c>
      <c r="AM39" s="1155" t="s">
        <v>1279</v>
      </c>
      <c r="AN39" s="1164">
        <v>-1100000000</v>
      </c>
      <c r="AO39" s="208">
        <v>0.05</v>
      </c>
      <c r="AP39" s="76">
        <f>AN49*AO39</f>
        <v>1100811962.1084635</v>
      </c>
      <c r="AQ39" s="253" t="s">
        <v>1465</v>
      </c>
      <c r="AR39" s="88"/>
      <c r="AS39" s="181"/>
      <c r="AV39" s="616"/>
      <c r="AW39" s="617"/>
      <c r="BB39" s="332" t="s">
        <v>989</v>
      </c>
      <c r="BC39" s="953">
        <f>BC38+1</f>
        <v>2032</v>
      </c>
      <c r="BD39" s="691">
        <f>BD38+BF38</f>
        <v>112144814188113.03</v>
      </c>
      <c r="BE39" s="894">
        <f>BE38</f>
        <v>2.5000000000000001E-2</v>
      </c>
      <c r="BF39" s="691">
        <f>BD39*BE39</f>
        <v>2803620354702.8262</v>
      </c>
      <c r="BG39" s="895" t="s">
        <v>1281</v>
      </c>
      <c r="BH39" s="76"/>
      <c r="BI39" s="953">
        <f t="shared" si="19"/>
        <v>2032</v>
      </c>
      <c r="BJ39" s="691">
        <f t="shared" ref="BJ39:BJ55" si="22">BJ29</f>
        <v>10737418.24</v>
      </c>
      <c r="BK39" s="987">
        <v>64</v>
      </c>
      <c r="BL39" s="875">
        <f t="shared" si="16"/>
        <v>687194767.36000001</v>
      </c>
      <c r="BM39" s="977"/>
      <c r="BN39" s="977"/>
      <c r="BO39" s="691">
        <f t="shared" si="17"/>
        <v>0</v>
      </c>
      <c r="BQ39" s="691">
        <f t="shared" si="7"/>
        <v>0</v>
      </c>
      <c r="BR39" s="691">
        <f t="shared" si="20"/>
        <v>10977936408.576</v>
      </c>
      <c r="BS39" s="894">
        <f t="shared" si="14"/>
        <v>0.125</v>
      </c>
      <c r="BT39" s="975">
        <f t="shared" si="11"/>
        <v>1372242051.072</v>
      </c>
      <c r="BU39" s="691">
        <f t="shared" si="13"/>
        <v>1111127962.8035061</v>
      </c>
      <c r="BV39" s="183">
        <f t="shared" si="21"/>
        <v>0</v>
      </c>
      <c r="BW39" s="949">
        <f t="shared" si="10"/>
        <v>2032</v>
      </c>
    </row>
    <row r="40" spans="1:75" x14ac:dyDescent="0.3">
      <c r="A40" s="690"/>
      <c r="B40" s="690"/>
      <c r="C40" s="1152">
        <f t="shared" ref="C40:C43" si="23">C39*2</f>
        <v>512</v>
      </c>
      <c r="D40" s="897">
        <f t="shared" si="18"/>
        <v>21474836.48</v>
      </c>
      <c r="E40" s="897">
        <f t="shared" si="15"/>
        <v>10995116277.76</v>
      </c>
      <c r="F40" s="874"/>
      <c r="G40" s="903" t="s">
        <v>732</v>
      </c>
      <c r="AM40" s="1156" t="s">
        <v>1277</v>
      </c>
      <c r="AN40" s="1164">
        <v>0</v>
      </c>
      <c r="AO40" s="88"/>
      <c r="AP40" s="253"/>
      <c r="AQ40" s="253"/>
      <c r="AR40" s="253"/>
      <c r="AS40" s="181"/>
      <c r="AV40" s="616"/>
      <c r="AW40" s="617"/>
      <c r="BB40" s="332" t="s">
        <v>989</v>
      </c>
      <c r="BC40" s="953">
        <f t="shared" ref="BC40:BC55" si="24">BC39+1</f>
        <v>2033</v>
      </c>
      <c r="BD40" s="691">
        <f t="shared" ref="BD40:BD55" si="25">BD39+BF39</f>
        <v>114948434542815.86</v>
      </c>
      <c r="BE40" s="894">
        <f t="shared" ref="BE40:BE55" si="26">BE39</f>
        <v>2.5000000000000001E-2</v>
      </c>
      <c r="BF40" s="691">
        <f t="shared" ref="BF40:BF55" si="27">BD40*BE40</f>
        <v>2873710863570.3965</v>
      </c>
      <c r="BH40" s="76"/>
      <c r="BI40" s="953">
        <f t="shared" si="19"/>
        <v>2033</v>
      </c>
      <c r="BJ40" s="691">
        <f t="shared" si="22"/>
        <v>10737418.24</v>
      </c>
      <c r="BK40" s="987">
        <v>64</v>
      </c>
      <c r="BL40" s="875">
        <f t="shared" si="16"/>
        <v>687194767.36000001</v>
      </c>
      <c r="BM40" s="969"/>
      <c r="BN40" s="977"/>
      <c r="BO40" s="691">
        <f t="shared" si="17"/>
        <v>0</v>
      </c>
      <c r="BQ40" s="691">
        <f t="shared" si="7"/>
        <v>0</v>
      </c>
      <c r="BR40" s="691">
        <f t="shared" si="20"/>
        <v>10977936408.576</v>
      </c>
      <c r="BS40" s="894">
        <f t="shared" si="14"/>
        <v>0.125</v>
      </c>
      <c r="BT40" s="975">
        <f t="shared" si="11"/>
        <v>1372242051.072</v>
      </c>
      <c r="BU40" s="691">
        <f t="shared" si="13"/>
        <v>1111127962.8035061</v>
      </c>
      <c r="BV40" s="183">
        <f t="shared" si="21"/>
        <v>0</v>
      </c>
      <c r="BW40" s="949">
        <f t="shared" si="10"/>
        <v>2033</v>
      </c>
    </row>
    <row r="41" spans="1:75" x14ac:dyDescent="0.3">
      <c r="A41" s="690"/>
      <c r="B41" s="690"/>
      <c r="C41" s="1121">
        <f t="shared" si="23"/>
        <v>1024</v>
      </c>
      <c r="D41" s="875">
        <f t="shared" si="18"/>
        <v>21474836.48</v>
      </c>
      <c r="E41" s="875">
        <f t="shared" si="15"/>
        <v>21990232555.52</v>
      </c>
      <c r="F41" s="410"/>
      <c r="G41" s="126" t="s">
        <v>732</v>
      </c>
      <c r="AK41" s="173" t="s">
        <v>1433</v>
      </c>
      <c r="AL41" s="1158"/>
      <c r="AM41" s="1159" t="s">
        <v>1285</v>
      </c>
      <c r="AN41" s="719">
        <f>'POP Dimensions'!H17</f>
        <v>687194767.36000001</v>
      </c>
      <c r="AO41" s="88"/>
      <c r="AP41" s="253"/>
      <c r="AQ41" s="253"/>
      <c r="AR41" s="1215"/>
      <c r="AS41" s="181"/>
      <c r="AV41" s="12" t="s">
        <v>979</v>
      </c>
      <c r="BB41" s="332" t="s">
        <v>989</v>
      </c>
      <c r="BC41" s="953">
        <f t="shared" si="24"/>
        <v>2034</v>
      </c>
      <c r="BD41" s="691">
        <f t="shared" si="25"/>
        <v>117822145406386.25</v>
      </c>
      <c r="BE41" s="894">
        <f t="shared" si="26"/>
        <v>2.5000000000000001E-2</v>
      </c>
      <c r="BF41" s="691">
        <f t="shared" si="27"/>
        <v>2945553635159.6563</v>
      </c>
      <c r="BH41" s="76"/>
      <c r="BI41" s="953">
        <f t="shared" si="19"/>
        <v>2034</v>
      </c>
      <c r="BJ41" s="691">
        <f t="shared" si="22"/>
        <v>10737418.24</v>
      </c>
      <c r="BK41" s="987">
        <v>64</v>
      </c>
      <c r="BL41" s="875">
        <f t="shared" si="16"/>
        <v>687194767.36000001</v>
      </c>
      <c r="BM41" s="969"/>
      <c r="BN41" s="977"/>
      <c r="BO41" s="691">
        <f t="shared" si="17"/>
        <v>0</v>
      </c>
      <c r="BQ41" s="691">
        <f t="shared" si="7"/>
        <v>0</v>
      </c>
      <c r="BR41" s="691">
        <f t="shared" si="20"/>
        <v>10977936408.576</v>
      </c>
      <c r="BS41" s="894">
        <f t="shared" si="14"/>
        <v>0.125</v>
      </c>
      <c r="BT41" s="975">
        <f t="shared" si="11"/>
        <v>1372242051.072</v>
      </c>
      <c r="BU41" s="691">
        <f t="shared" si="13"/>
        <v>1111127962.8035061</v>
      </c>
      <c r="BV41" s="183">
        <f t="shared" si="21"/>
        <v>0</v>
      </c>
      <c r="BW41" s="949">
        <f t="shared" si="10"/>
        <v>2034</v>
      </c>
    </row>
    <row r="42" spans="1:75" x14ac:dyDescent="0.3">
      <c r="A42" s="690"/>
      <c r="B42" s="690"/>
      <c r="C42" s="1153">
        <f t="shared" si="23"/>
        <v>2048</v>
      </c>
      <c r="D42" s="899">
        <f t="shared" si="18"/>
        <v>21474836.48</v>
      </c>
      <c r="E42" s="899">
        <f t="shared" si="15"/>
        <v>43980465111.040001</v>
      </c>
      <c r="F42" s="898"/>
      <c r="G42" s="905" t="s">
        <v>732</v>
      </c>
      <c r="AK42" s="618" t="s">
        <v>1434</v>
      </c>
      <c r="AM42" s="1155" t="s">
        <v>1278</v>
      </c>
      <c r="AN42" s="1164">
        <f>'Network Cities'!S37</f>
        <v>2943750000.5</v>
      </c>
      <c r="AO42" s="88"/>
      <c r="AP42" s="253"/>
      <c r="AQ42" s="253"/>
      <c r="AR42" s="1215"/>
      <c r="AS42" s="181"/>
      <c r="AV42" s="12"/>
      <c r="BB42" s="332" t="s">
        <v>989</v>
      </c>
      <c r="BC42" s="953">
        <f t="shared" si="24"/>
        <v>2035</v>
      </c>
      <c r="BD42" s="691">
        <f t="shared" si="25"/>
        <v>120767699041545.91</v>
      </c>
      <c r="BE42" s="894">
        <f t="shared" si="26"/>
        <v>2.5000000000000001E-2</v>
      </c>
      <c r="BF42" s="691">
        <f t="shared" si="27"/>
        <v>3019192476038.6479</v>
      </c>
      <c r="BH42" s="76"/>
      <c r="BI42" s="953">
        <f t="shared" si="19"/>
        <v>2035</v>
      </c>
      <c r="BJ42" s="691">
        <f t="shared" si="22"/>
        <v>10737418.24</v>
      </c>
      <c r="BK42" s="987">
        <v>64</v>
      </c>
      <c r="BL42" s="875">
        <f t="shared" si="16"/>
        <v>687194767.36000001</v>
      </c>
      <c r="BM42" s="969"/>
      <c r="BN42" s="977"/>
      <c r="BO42" s="691">
        <f t="shared" si="17"/>
        <v>0</v>
      </c>
      <c r="BQ42" s="691">
        <f t="shared" si="7"/>
        <v>0</v>
      </c>
      <c r="BR42" s="691">
        <f t="shared" si="20"/>
        <v>10977936408.576</v>
      </c>
      <c r="BS42" s="894">
        <f t="shared" si="14"/>
        <v>0.125</v>
      </c>
      <c r="BT42" s="975">
        <f t="shared" si="11"/>
        <v>1372242051.072</v>
      </c>
      <c r="BU42" s="691">
        <f t="shared" si="13"/>
        <v>1111127962.8035061</v>
      </c>
      <c r="BV42" s="183">
        <f t="shared" si="21"/>
        <v>0</v>
      </c>
      <c r="BW42" s="949">
        <f t="shared" si="10"/>
        <v>2035</v>
      </c>
    </row>
    <row r="43" spans="1:75" x14ac:dyDescent="0.3">
      <c r="A43" s="690"/>
      <c r="B43" s="690"/>
      <c r="C43" s="1154">
        <f t="shared" si="23"/>
        <v>4096</v>
      </c>
      <c r="D43" s="906">
        <f t="shared" si="18"/>
        <v>21474836.48</v>
      </c>
      <c r="E43" s="906">
        <f t="shared" si="15"/>
        <v>87960930222.080002</v>
      </c>
      <c r="F43" s="907"/>
      <c r="G43" s="908" t="s">
        <v>732</v>
      </c>
      <c r="AM43" s="1155" t="s">
        <v>1161</v>
      </c>
      <c r="AN43" s="1164">
        <v>0</v>
      </c>
      <c r="AO43" s="88"/>
      <c r="AP43" s="600"/>
      <c r="AQ43" s="253"/>
      <c r="AR43" s="253"/>
      <c r="AS43" s="181"/>
      <c r="AV43" s="12"/>
      <c r="BB43" s="332" t="s">
        <v>989</v>
      </c>
      <c r="BC43" s="953">
        <f t="shared" si="24"/>
        <v>2036</v>
      </c>
      <c r="BD43" s="691">
        <f t="shared" si="25"/>
        <v>123786891517584.55</v>
      </c>
      <c r="BE43" s="894">
        <f t="shared" si="26"/>
        <v>2.5000000000000001E-2</v>
      </c>
      <c r="BF43" s="691">
        <f t="shared" si="27"/>
        <v>3094672287939.6138</v>
      </c>
      <c r="BH43" s="76"/>
      <c r="BI43" s="953">
        <f t="shared" si="19"/>
        <v>2036</v>
      </c>
      <c r="BJ43" s="691">
        <f t="shared" si="22"/>
        <v>10737418.24</v>
      </c>
      <c r="BK43" s="987">
        <v>64</v>
      </c>
      <c r="BL43" s="875">
        <f t="shared" si="16"/>
        <v>687194767.36000001</v>
      </c>
      <c r="BM43" s="969"/>
      <c r="BN43" s="977"/>
      <c r="BO43" s="691">
        <f t="shared" si="17"/>
        <v>0</v>
      </c>
      <c r="BQ43" s="691">
        <f t="shared" si="7"/>
        <v>0</v>
      </c>
      <c r="BR43" s="691">
        <f t="shared" si="20"/>
        <v>10977936408.576</v>
      </c>
      <c r="BS43" s="894">
        <f t="shared" si="14"/>
        <v>0.125</v>
      </c>
      <c r="BT43" s="975">
        <f t="shared" si="11"/>
        <v>1372242051.072</v>
      </c>
      <c r="BU43" s="691">
        <f t="shared" si="13"/>
        <v>1111127962.8035061</v>
      </c>
      <c r="BV43" s="183">
        <f t="shared" si="21"/>
        <v>0</v>
      </c>
      <c r="BW43" s="949">
        <f t="shared" si="10"/>
        <v>2036</v>
      </c>
    </row>
    <row r="44" spans="1:75" x14ac:dyDescent="0.3">
      <c r="A44" s="690"/>
      <c r="B44" s="690"/>
      <c r="AK44" s="1162" t="s">
        <v>1433</v>
      </c>
      <c r="AL44" s="1160"/>
      <c r="AM44" s="1161" t="s">
        <v>1249</v>
      </c>
      <c r="AN44" s="1164">
        <v>0</v>
      </c>
      <c r="AO44" s="88"/>
      <c r="AP44" s="253"/>
      <c r="AQ44" s="254"/>
      <c r="AR44" s="253"/>
      <c r="AS44" s="181"/>
      <c r="AV44" s="12"/>
      <c r="BB44" s="332" t="s">
        <v>989</v>
      </c>
      <c r="BC44" s="953">
        <f t="shared" si="24"/>
        <v>2037</v>
      </c>
      <c r="BD44" s="691">
        <f t="shared" si="25"/>
        <v>126881563805524.16</v>
      </c>
      <c r="BE44" s="894">
        <f t="shared" si="26"/>
        <v>2.5000000000000001E-2</v>
      </c>
      <c r="BF44" s="691">
        <f t="shared" si="27"/>
        <v>3172039095138.104</v>
      </c>
      <c r="BH44" s="76"/>
      <c r="BI44" s="953">
        <f t="shared" si="19"/>
        <v>2037</v>
      </c>
      <c r="BJ44" s="691">
        <f t="shared" si="22"/>
        <v>10737418.24</v>
      </c>
      <c r="BK44" s="987">
        <v>64</v>
      </c>
      <c r="BL44" s="875">
        <f t="shared" si="16"/>
        <v>687194767.36000001</v>
      </c>
      <c r="BM44" s="969"/>
      <c r="BN44" s="977"/>
      <c r="BO44" s="691">
        <f t="shared" si="17"/>
        <v>0</v>
      </c>
      <c r="BQ44" s="691">
        <f t="shared" si="7"/>
        <v>0</v>
      </c>
      <c r="BR44" s="691">
        <f t="shared" si="20"/>
        <v>10977936408.576</v>
      </c>
      <c r="BS44" s="894">
        <f t="shared" si="14"/>
        <v>0.125</v>
      </c>
      <c r="BT44" s="975">
        <f t="shared" si="11"/>
        <v>1372242051.072</v>
      </c>
      <c r="BU44" s="691">
        <f t="shared" si="13"/>
        <v>1111127962.8035061</v>
      </c>
      <c r="BV44" s="183">
        <f t="shared" si="21"/>
        <v>0</v>
      </c>
      <c r="BW44" s="949">
        <f t="shared" si="10"/>
        <v>2037</v>
      </c>
    </row>
    <row r="45" spans="1:75" x14ac:dyDescent="0.3">
      <c r="A45" s="690"/>
      <c r="B45" s="690"/>
      <c r="AK45" s="1163" t="s">
        <v>1437</v>
      </c>
      <c r="AM45" s="1157" t="s">
        <v>148</v>
      </c>
      <c r="AN45" s="1164">
        <v>0</v>
      </c>
      <c r="AO45" s="88"/>
      <c r="AP45" s="254"/>
      <c r="AQ45" s="254"/>
      <c r="AR45" s="253"/>
      <c r="AS45" s="181"/>
      <c r="AV45" s="12"/>
      <c r="BB45" s="332" t="s">
        <v>989</v>
      </c>
      <c r="BC45" s="953">
        <f t="shared" si="24"/>
        <v>2038</v>
      </c>
      <c r="BD45" s="691">
        <f t="shared" si="25"/>
        <v>130053602900662.27</v>
      </c>
      <c r="BE45" s="894">
        <f t="shared" si="26"/>
        <v>2.5000000000000001E-2</v>
      </c>
      <c r="BF45" s="691">
        <f t="shared" si="27"/>
        <v>3251340072516.5566</v>
      </c>
      <c r="BH45" s="76"/>
      <c r="BI45" s="953">
        <f t="shared" si="19"/>
        <v>2038</v>
      </c>
      <c r="BJ45" s="691">
        <f t="shared" si="22"/>
        <v>10737418.24</v>
      </c>
      <c r="BK45" s="987">
        <v>64</v>
      </c>
      <c r="BL45" s="875">
        <f t="shared" si="16"/>
        <v>687194767.36000001</v>
      </c>
      <c r="BM45" s="969"/>
      <c r="BN45" s="977"/>
      <c r="BO45" s="691">
        <f t="shared" si="17"/>
        <v>0</v>
      </c>
      <c r="BQ45" s="691">
        <f t="shared" si="7"/>
        <v>0</v>
      </c>
      <c r="BR45" s="691">
        <f t="shared" si="20"/>
        <v>10977936408.576</v>
      </c>
      <c r="BS45" s="894">
        <f t="shared" si="14"/>
        <v>0.125</v>
      </c>
      <c r="BT45" s="975">
        <f t="shared" si="11"/>
        <v>1372242051.072</v>
      </c>
      <c r="BU45" s="691">
        <f t="shared" si="13"/>
        <v>1111127962.8035061</v>
      </c>
      <c r="BV45" s="183">
        <f t="shared" si="21"/>
        <v>0</v>
      </c>
      <c r="BW45" s="949">
        <f t="shared" si="10"/>
        <v>2038</v>
      </c>
    </row>
    <row r="46" spans="1:75" x14ac:dyDescent="0.3">
      <c r="A46" s="690"/>
      <c r="B46" s="690"/>
      <c r="AM46" s="1150" t="s">
        <v>948</v>
      </c>
      <c r="AN46" s="1216">
        <f>'2025 - ŔÉŚ 2 The GDP Game'!AT29</f>
        <v>1760634552.7407517</v>
      </c>
      <c r="AO46" s="88"/>
      <c r="AP46" s="253"/>
      <c r="AQ46" s="253"/>
      <c r="AR46" s="253"/>
      <c r="AS46" s="181" t="s">
        <v>805</v>
      </c>
      <c r="AT46" s="1" t="s">
        <v>998</v>
      </c>
      <c r="AV46" s="19">
        <v>0.01</v>
      </c>
      <c r="BB46" s="332" t="s">
        <v>989</v>
      </c>
      <c r="BC46" s="953">
        <f t="shared" si="24"/>
        <v>2039</v>
      </c>
      <c r="BD46" s="691">
        <f t="shared" si="25"/>
        <v>133304942973178.83</v>
      </c>
      <c r="BE46" s="894">
        <f t="shared" si="26"/>
        <v>2.5000000000000001E-2</v>
      </c>
      <c r="BF46" s="691">
        <f t="shared" si="27"/>
        <v>3332623574329.4707</v>
      </c>
      <c r="BH46" s="76"/>
      <c r="BI46" s="953">
        <f t="shared" si="19"/>
        <v>2039</v>
      </c>
      <c r="BJ46" s="691">
        <f t="shared" si="22"/>
        <v>10737418.24</v>
      </c>
      <c r="BK46" s="987">
        <v>64</v>
      </c>
      <c r="BL46" s="875">
        <f t="shared" si="16"/>
        <v>687194767.36000001</v>
      </c>
      <c r="BM46" s="969"/>
      <c r="BN46" s="977"/>
      <c r="BO46" s="691">
        <f t="shared" si="17"/>
        <v>0</v>
      </c>
      <c r="BQ46" s="691">
        <f t="shared" si="7"/>
        <v>0</v>
      </c>
      <c r="BR46" s="691">
        <f t="shared" si="20"/>
        <v>10977936408.576</v>
      </c>
      <c r="BS46" s="894">
        <f t="shared" si="14"/>
        <v>0.125</v>
      </c>
      <c r="BT46" s="975">
        <f t="shared" si="11"/>
        <v>1372242051.072</v>
      </c>
      <c r="BU46" s="691">
        <f t="shared" si="13"/>
        <v>1111127962.8035061</v>
      </c>
      <c r="BV46" s="183">
        <f t="shared" si="21"/>
        <v>0</v>
      </c>
      <c r="BW46" s="949">
        <f t="shared" si="10"/>
        <v>2039</v>
      </c>
    </row>
    <row r="47" spans="1:75" x14ac:dyDescent="0.3">
      <c r="K47" s="690"/>
      <c r="AM47" s="122" t="s">
        <v>1385</v>
      </c>
      <c r="AN47" s="183">
        <f>SUM(AN35:AN46)</f>
        <v>5665968855.3207512</v>
      </c>
      <c r="AO47" s="251"/>
      <c r="AP47" s="76" t="s">
        <v>805</v>
      </c>
      <c r="AQ47" s="691">
        <f>AE83</f>
        <v>6630548568.2489748</v>
      </c>
      <c r="AR47" s="76"/>
      <c r="AS47" s="691">
        <f>AQ47</f>
        <v>6630548568.2489748</v>
      </c>
      <c r="AT47" s="691">
        <f>BD31</f>
        <v>92042471679365.094</v>
      </c>
      <c r="AU47" s="76"/>
      <c r="AV47" s="736">
        <f>AT47*AV46</f>
        <v>920424716793.651</v>
      </c>
      <c r="AW47" s="76"/>
      <c r="AX47" s="208">
        <f>AV47/AS60</f>
        <v>32.1301195402757</v>
      </c>
      <c r="AY47" s="76"/>
      <c r="AZ47" s="76"/>
      <c r="BA47" s="76"/>
      <c r="BB47" s="332" t="s">
        <v>989</v>
      </c>
      <c r="BC47" s="953">
        <f t="shared" si="24"/>
        <v>2040</v>
      </c>
      <c r="BD47" s="691">
        <f t="shared" si="25"/>
        <v>136637566547508.3</v>
      </c>
      <c r="BE47" s="894">
        <f t="shared" si="26"/>
        <v>2.5000000000000001E-2</v>
      </c>
      <c r="BF47" s="691">
        <f t="shared" si="27"/>
        <v>3415939163687.7075</v>
      </c>
      <c r="BH47" s="76"/>
      <c r="BI47" s="953">
        <f t="shared" si="19"/>
        <v>2040</v>
      </c>
      <c r="BJ47" s="691">
        <f t="shared" si="22"/>
        <v>10737418.24</v>
      </c>
      <c r="BK47" s="987">
        <v>64</v>
      </c>
      <c r="BL47" s="875">
        <f t="shared" si="16"/>
        <v>687194767.36000001</v>
      </c>
      <c r="BM47" s="969"/>
      <c r="BN47" s="977"/>
      <c r="BO47" s="691">
        <f t="shared" si="17"/>
        <v>0</v>
      </c>
      <c r="BQ47" s="691">
        <f t="shared" si="7"/>
        <v>0</v>
      </c>
      <c r="BR47" s="691">
        <f t="shared" si="20"/>
        <v>10977936408.576</v>
      </c>
      <c r="BS47" s="894">
        <f t="shared" si="14"/>
        <v>0.125</v>
      </c>
      <c r="BT47" s="975">
        <f t="shared" si="11"/>
        <v>1372242051.072</v>
      </c>
      <c r="BU47" s="691">
        <f t="shared" si="13"/>
        <v>1111127962.8035061</v>
      </c>
      <c r="BV47" s="183">
        <f t="shared" si="21"/>
        <v>0</v>
      </c>
      <c r="BW47" s="949">
        <f t="shared" si="10"/>
        <v>2040</v>
      </c>
    </row>
    <row r="48" spans="1:75" ht="16.2" thickBot="1" x14ac:dyDescent="0.35">
      <c r="AM48" s="1150" t="s">
        <v>309</v>
      </c>
      <c r="AN48" s="182">
        <f>AN47*AN34</f>
        <v>33275757208.967655</v>
      </c>
      <c r="AR48" s="565" t="s">
        <v>894</v>
      </c>
      <c r="AS48" s="208">
        <f>AS32/AS47</f>
        <v>3.3204250018763406</v>
      </c>
      <c r="AT48" s="367"/>
      <c r="AV48" s="192">
        <f>AS60</f>
        <v>28646787810.418243</v>
      </c>
      <c r="AW48" s="193"/>
      <c r="AX48" s="1" t="s">
        <v>1339</v>
      </c>
      <c r="BB48" s="332" t="s">
        <v>989</v>
      </c>
      <c r="BC48" s="953">
        <f t="shared" si="24"/>
        <v>2041</v>
      </c>
      <c r="BD48" s="691">
        <f t="shared" si="25"/>
        <v>140053505711196</v>
      </c>
      <c r="BE48" s="894">
        <f t="shared" si="26"/>
        <v>2.5000000000000001E-2</v>
      </c>
      <c r="BF48" s="691">
        <f t="shared" si="27"/>
        <v>3501337642779.9004</v>
      </c>
      <c r="BH48" s="76"/>
      <c r="BI48" s="953">
        <f t="shared" si="19"/>
        <v>2041</v>
      </c>
      <c r="BJ48" s="691">
        <f t="shared" si="22"/>
        <v>10737418.24</v>
      </c>
      <c r="BK48" s="987">
        <v>64</v>
      </c>
      <c r="BL48" s="875">
        <f t="shared" si="16"/>
        <v>687194767.36000001</v>
      </c>
      <c r="BM48" s="969"/>
      <c r="BN48" s="977"/>
      <c r="BO48" s="691">
        <f t="shared" si="17"/>
        <v>0</v>
      </c>
      <c r="BQ48" s="691">
        <f t="shared" si="7"/>
        <v>0</v>
      </c>
      <c r="BR48" s="691">
        <f t="shared" si="20"/>
        <v>10977936408.576</v>
      </c>
      <c r="BS48" s="894">
        <f t="shared" si="14"/>
        <v>0.125</v>
      </c>
      <c r="BT48" s="975">
        <f t="shared" si="11"/>
        <v>1372242051.072</v>
      </c>
      <c r="BU48" s="691">
        <f t="shared" si="13"/>
        <v>1111127962.8035061</v>
      </c>
      <c r="BV48" s="183">
        <f t="shared" si="21"/>
        <v>0</v>
      </c>
      <c r="BW48" s="949">
        <f t="shared" si="10"/>
        <v>2041</v>
      </c>
    </row>
    <row r="49" spans="3:75" ht="16.2" thickBot="1" x14ac:dyDescent="0.35">
      <c r="C49" s="1" t="s">
        <v>801</v>
      </c>
      <c r="AM49" s="1150" t="s">
        <v>308</v>
      </c>
      <c r="AN49" s="182">
        <f>AN48*AO49</f>
        <v>22016239242.16927</v>
      </c>
      <c r="AO49" s="680">
        <v>0.66163000000000005</v>
      </c>
      <c r="AP49" s="1" t="s">
        <v>1275</v>
      </c>
      <c r="AR49" s="565" t="s">
        <v>888</v>
      </c>
      <c r="AS49" s="953">
        <v>8</v>
      </c>
      <c r="AT49" s="1" t="s">
        <v>889</v>
      </c>
      <c r="AX49" s="1" t="s">
        <v>1340</v>
      </c>
      <c r="BB49" s="332" t="s">
        <v>989</v>
      </c>
      <c r="BC49" s="953">
        <f t="shared" si="24"/>
        <v>2042</v>
      </c>
      <c r="BD49" s="691">
        <f t="shared" si="25"/>
        <v>143554843353975.91</v>
      </c>
      <c r="BE49" s="894">
        <f t="shared" si="26"/>
        <v>2.5000000000000001E-2</v>
      </c>
      <c r="BF49" s="691">
        <f t="shared" si="27"/>
        <v>3588871083849.3979</v>
      </c>
      <c r="BH49" s="76"/>
      <c r="BI49" s="953">
        <f t="shared" si="19"/>
        <v>2042</v>
      </c>
      <c r="BJ49" s="691">
        <f t="shared" si="22"/>
        <v>10737418.24</v>
      </c>
      <c r="BK49" s="987">
        <v>64</v>
      </c>
      <c r="BL49" s="875">
        <f t="shared" si="16"/>
        <v>687194767.36000001</v>
      </c>
      <c r="BM49" s="969"/>
      <c r="BN49" s="977"/>
      <c r="BO49" s="691">
        <f t="shared" si="17"/>
        <v>0</v>
      </c>
      <c r="BQ49" s="691">
        <f t="shared" si="7"/>
        <v>0</v>
      </c>
      <c r="BR49" s="691">
        <f t="shared" si="20"/>
        <v>10977936408.576</v>
      </c>
      <c r="BS49" s="894">
        <f t="shared" si="14"/>
        <v>0.125</v>
      </c>
      <c r="BT49" s="975">
        <f t="shared" si="11"/>
        <v>1372242051.072</v>
      </c>
      <c r="BU49" s="691">
        <f t="shared" si="13"/>
        <v>1111127962.8035061</v>
      </c>
      <c r="BV49" s="183">
        <f t="shared" si="21"/>
        <v>0</v>
      </c>
      <c r="BW49" s="949">
        <f t="shared" si="10"/>
        <v>2042</v>
      </c>
    </row>
    <row r="50" spans="3:75" x14ac:dyDescent="0.3">
      <c r="C50" s="13"/>
      <c r="D50" s="4"/>
      <c r="E50" s="120" t="s">
        <v>275</v>
      </c>
      <c r="F50" s="4"/>
      <c r="G50" s="173" t="s">
        <v>288</v>
      </c>
      <c r="H50" s="462" t="s">
        <v>1367</v>
      </c>
      <c r="I50" s="170" t="s">
        <v>1373</v>
      </c>
      <c r="J50" s="175" t="s">
        <v>297</v>
      </c>
      <c r="K50" s="170" t="s">
        <v>802</v>
      </c>
      <c r="AN50" s="239"/>
      <c r="AP50" s="1" t="s">
        <v>1276</v>
      </c>
      <c r="AR50" s="565" t="s">
        <v>890</v>
      </c>
      <c r="AS50" s="208">
        <f>AS48/AS49</f>
        <v>0.41505312523454257</v>
      </c>
      <c r="BB50" s="332" t="s">
        <v>989</v>
      </c>
      <c r="BC50" s="953">
        <f t="shared" si="24"/>
        <v>2043</v>
      </c>
      <c r="BD50" s="691">
        <f t="shared" si="25"/>
        <v>147143714437825.31</v>
      </c>
      <c r="BE50" s="894">
        <f t="shared" si="26"/>
        <v>2.5000000000000001E-2</v>
      </c>
      <c r="BF50" s="691">
        <f t="shared" si="27"/>
        <v>3678592860945.6328</v>
      </c>
      <c r="BH50" s="76"/>
      <c r="BI50" s="953">
        <f t="shared" si="19"/>
        <v>2043</v>
      </c>
      <c r="BJ50" s="691">
        <f t="shared" si="22"/>
        <v>10737418.24</v>
      </c>
      <c r="BK50" s="987">
        <v>64</v>
      </c>
      <c r="BL50" s="875">
        <f t="shared" si="16"/>
        <v>687194767.36000001</v>
      </c>
      <c r="BM50" s="969"/>
      <c r="BN50" s="977"/>
      <c r="BO50" s="691">
        <f t="shared" si="17"/>
        <v>0</v>
      </c>
      <c r="BQ50" s="691">
        <f t="shared" si="7"/>
        <v>0</v>
      </c>
      <c r="BR50" s="691">
        <f t="shared" si="20"/>
        <v>10977936408.576</v>
      </c>
      <c r="BS50" s="894">
        <f t="shared" si="14"/>
        <v>0.125</v>
      </c>
      <c r="BT50" s="975">
        <f t="shared" si="11"/>
        <v>1372242051.072</v>
      </c>
      <c r="BU50" s="691">
        <f t="shared" si="13"/>
        <v>1111127962.8035061</v>
      </c>
      <c r="BV50" s="183">
        <f t="shared" si="21"/>
        <v>0</v>
      </c>
      <c r="BW50" s="949">
        <f t="shared" si="10"/>
        <v>2043</v>
      </c>
    </row>
    <row r="51" spans="3:75" x14ac:dyDescent="0.3">
      <c r="C51" s="122"/>
      <c r="D51" s="7"/>
      <c r="E51" s="875">
        <f>E8</f>
        <v>5665968855.3207512</v>
      </c>
      <c r="F51" s="7"/>
      <c r="G51" s="468" t="s">
        <v>1386</v>
      </c>
      <c r="H51" s="469"/>
      <c r="I51" s="470"/>
      <c r="J51" s="471"/>
      <c r="K51" s="470"/>
      <c r="AN51" s="277" t="s">
        <v>748</v>
      </c>
      <c r="AR51" s="239"/>
      <c r="AS51" s="76"/>
      <c r="BB51" s="332" t="s">
        <v>989</v>
      </c>
      <c r="BC51" s="953">
        <f t="shared" si="24"/>
        <v>2044</v>
      </c>
      <c r="BD51" s="691">
        <f t="shared" si="25"/>
        <v>150822307298770.94</v>
      </c>
      <c r="BE51" s="894">
        <f t="shared" si="26"/>
        <v>2.5000000000000001E-2</v>
      </c>
      <c r="BF51" s="691">
        <f t="shared" si="27"/>
        <v>3770557682469.2734</v>
      </c>
      <c r="BH51" s="76"/>
      <c r="BI51" s="953">
        <f t="shared" si="19"/>
        <v>2044</v>
      </c>
      <c r="BJ51" s="691">
        <f t="shared" si="22"/>
        <v>10737418.24</v>
      </c>
      <c r="BK51" s="987">
        <v>64</v>
      </c>
      <c r="BL51" s="875">
        <f t="shared" si="16"/>
        <v>687194767.36000001</v>
      </c>
      <c r="BM51" s="969"/>
      <c r="BN51" s="977"/>
      <c r="BO51" s="691">
        <f t="shared" si="17"/>
        <v>0</v>
      </c>
      <c r="BQ51" s="691">
        <f t="shared" si="7"/>
        <v>0</v>
      </c>
      <c r="BR51" s="691">
        <f t="shared" si="20"/>
        <v>10977936408.576</v>
      </c>
      <c r="BS51" s="894">
        <f t="shared" si="14"/>
        <v>0.125</v>
      </c>
      <c r="BT51" s="975">
        <f t="shared" si="11"/>
        <v>1372242051.072</v>
      </c>
      <c r="BU51" s="691">
        <f t="shared" si="13"/>
        <v>1111127962.8035061</v>
      </c>
      <c r="BV51" s="183">
        <f t="shared" si="21"/>
        <v>0</v>
      </c>
      <c r="BW51" s="949">
        <f t="shared" si="10"/>
        <v>2044</v>
      </c>
    </row>
    <row r="52" spans="3:75" ht="16.2" thickBot="1" x14ac:dyDescent="0.35">
      <c r="C52" s="122"/>
      <c r="D52" s="7"/>
      <c r="E52" s="7"/>
      <c r="F52" s="127"/>
      <c r="G52" s="127" t="s">
        <v>280</v>
      </c>
      <c r="H52" s="7"/>
      <c r="I52" s="459" t="s">
        <v>282</v>
      </c>
      <c r="J52" s="122"/>
      <c r="K52" s="8"/>
      <c r="AN52" s="277" t="s">
        <v>747</v>
      </c>
      <c r="AP52" s="110" t="s">
        <v>746</v>
      </c>
      <c r="AR52" s="565" t="s">
        <v>891</v>
      </c>
      <c r="AS52" s="76"/>
      <c r="BB52" s="332" t="s">
        <v>989</v>
      </c>
      <c r="BC52" s="953">
        <f t="shared" si="24"/>
        <v>2045</v>
      </c>
      <c r="BD52" s="691">
        <f t="shared" si="25"/>
        <v>154592864981240.22</v>
      </c>
      <c r="BE52" s="894">
        <f t="shared" si="26"/>
        <v>2.5000000000000001E-2</v>
      </c>
      <c r="BF52" s="691">
        <f t="shared" si="27"/>
        <v>3864821624531.0059</v>
      </c>
      <c r="BH52" s="76"/>
      <c r="BI52" s="953">
        <f t="shared" si="19"/>
        <v>2045</v>
      </c>
      <c r="BJ52" s="691">
        <f t="shared" si="22"/>
        <v>10737418.24</v>
      </c>
      <c r="BK52" s="987">
        <v>64</v>
      </c>
      <c r="BL52" s="875">
        <f t="shared" si="16"/>
        <v>687194767.36000001</v>
      </c>
      <c r="BM52" s="969"/>
      <c r="BN52" s="977"/>
      <c r="BO52" s="691">
        <f t="shared" si="17"/>
        <v>0</v>
      </c>
      <c r="BQ52" s="691">
        <f t="shared" si="7"/>
        <v>0</v>
      </c>
      <c r="BR52" s="691">
        <f t="shared" si="20"/>
        <v>10977936408.576</v>
      </c>
      <c r="BS52" s="894">
        <f t="shared" si="14"/>
        <v>0.125</v>
      </c>
      <c r="BT52" s="975">
        <f t="shared" si="11"/>
        <v>1372242051.072</v>
      </c>
      <c r="BU52" s="691">
        <f t="shared" si="13"/>
        <v>1111127962.8035061</v>
      </c>
      <c r="BV52" s="183">
        <f t="shared" si="21"/>
        <v>0</v>
      </c>
      <c r="BW52" s="949">
        <f t="shared" si="10"/>
        <v>2045</v>
      </c>
    </row>
    <row r="53" spans="3:75" ht="16.2" thickBot="1" x14ac:dyDescent="0.35">
      <c r="C53" s="122"/>
      <c r="D53" s="7"/>
      <c r="E53" s="7"/>
      <c r="F53" s="129">
        <v>0.25</v>
      </c>
      <c r="G53" s="130">
        <f>E57*F53</f>
        <v>78723961.354028419</v>
      </c>
      <c r="H53" s="460">
        <v>0.5</v>
      </c>
      <c r="I53" s="130">
        <f>G53*H53</f>
        <v>39361980.677014209</v>
      </c>
      <c r="J53" s="460">
        <v>0</v>
      </c>
      <c r="K53" s="458">
        <f>I53*J53</f>
        <v>0</v>
      </c>
      <c r="AL53" s="933">
        <f>AO53</f>
        <v>256</v>
      </c>
      <c r="AM53" s="927" t="s">
        <v>745</v>
      </c>
      <c r="AN53" s="578">
        <f>AP53*AO53</f>
        <v>5497558138.8800001</v>
      </c>
      <c r="AO53" s="934">
        <v>256</v>
      </c>
      <c r="AP53" s="578">
        <f>'POP Dimensions'!J15</f>
        <v>21474836.48</v>
      </c>
      <c r="AQ53" s="239"/>
      <c r="AR53" s="565" t="s">
        <v>901</v>
      </c>
      <c r="AS53" s="484">
        <v>0.17</v>
      </c>
      <c r="AT53" s="1" t="s">
        <v>895</v>
      </c>
      <c r="BB53" s="332" t="s">
        <v>989</v>
      </c>
      <c r="BC53" s="953">
        <f t="shared" si="24"/>
        <v>2046</v>
      </c>
      <c r="BD53" s="691">
        <f t="shared" si="25"/>
        <v>158457686605771.22</v>
      </c>
      <c r="BE53" s="894">
        <f t="shared" si="26"/>
        <v>2.5000000000000001E-2</v>
      </c>
      <c r="BF53" s="691">
        <f t="shared" si="27"/>
        <v>3961442165144.2808</v>
      </c>
      <c r="BH53" s="76"/>
      <c r="BI53" s="953">
        <f t="shared" si="19"/>
        <v>2046</v>
      </c>
      <c r="BJ53" s="691">
        <f t="shared" si="22"/>
        <v>10737418.24</v>
      </c>
      <c r="BK53" s="987">
        <v>64</v>
      </c>
      <c r="BL53" s="875">
        <f t="shared" si="16"/>
        <v>687194767.36000001</v>
      </c>
      <c r="BM53" s="969"/>
      <c r="BN53" s="977"/>
      <c r="BO53" s="691">
        <f t="shared" si="17"/>
        <v>0</v>
      </c>
      <c r="BQ53" s="691">
        <f t="shared" si="7"/>
        <v>0</v>
      </c>
      <c r="BR53" s="691">
        <f t="shared" si="20"/>
        <v>10977936408.576</v>
      </c>
      <c r="BS53" s="894">
        <f t="shared" si="14"/>
        <v>0.125</v>
      </c>
      <c r="BT53" s="975">
        <f t="shared" si="11"/>
        <v>1372242051.072</v>
      </c>
      <c r="BU53" s="691">
        <f t="shared" si="13"/>
        <v>1111127962.8035061</v>
      </c>
      <c r="BV53" s="183">
        <f t="shared" si="21"/>
        <v>0</v>
      </c>
      <c r="BW53" s="949">
        <f t="shared" si="10"/>
        <v>2046</v>
      </c>
    </row>
    <row r="54" spans="3:75" ht="16.2" thickBot="1" x14ac:dyDescent="0.35">
      <c r="C54" s="122"/>
      <c r="D54" s="7"/>
      <c r="E54" s="7"/>
      <c r="F54" s="133"/>
      <c r="G54" s="134" t="s">
        <v>290</v>
      </c>
      <c r="H54" s="7"/>
      <c r="I54" s="457" t="s">
        <v>283</v>
      </c>
      <c r="J54" s="122"/>
      <c r="K54" s="8"/>
      <c r="AL54" s="927"/>
      <c r="AN54" s="999" t="s">
        <v>1355</v>
      </c>
      <c r="AO54" s="254"/>
      <c r="AP54" s="248" t="s">
        <v>1290</v>
      </c>
      <c r="AR54" s="566"/>
      <c r="AS54" s="76"/>
      <c r="BB54" s="332" t="s">
        <v>989</v>
      </c>
      <c r="BC54" s="953">
        <f t="shared" si="24"/>
        <v>2047</v>
      </c>
      <c r="BD54" s="691">
        <f t="shared" si="25"/>
        <v>162419128770915.5</v>
      </c>
      <c r="BE54" s="894">
        <f t="shared" si="26"/>
        <v>2.5000000000000001E-2</v>
      </c>
      <c r="BF54" s="691">
        <f t="shared" si="27"/>
        <v>4060478219272.8877</v>
      </c>
      <c r="BH54" s="76"/>
      <c r="BI54" s="953">
        <f t="shared" si="19"/>
        <v>2047</v>
      </c>
      <c r="BJ54" s="691">
        <f t="shared" si="22"/>
        <v>10737418.24</v>
      </c>
      <c r="BK54" s="987">
        <v>64</v>
      </c>
      <c r="BL54" s="875">
        <f t="shared" si="16"/>
        <v>687194767.36000001</v>
      </c>
      <c r="BM54" s="969"/>
      <c r="BN54" s="977"/>
      <c r="BO54" s="691">
        <f t="shared" si="17"/>
        <v>0</v>
      </c>
      <c r="BQ54" s="691">
        <f t="shared" si="7"/>
        <v>0</v>
      </c>
      <c r="BR54" s="691">
        <f t="shared" si="20"/>
        <v>10977936408.576</v>
      </c>
      <c r="BS54" s="894">
        <f t="shared" si="14"/>
        <v>0.125</v>
      </c>
      <c r="BT54" s="975">
        <f t="shared" si="11"/>
        <v>1372242051.072</v>
      </c>
      <c r="BU54" s="691">
        <f t="shared" si="13"/>
        <v>1111127962.8035061</v>
      </c>
      <c r="BV54" s="183">
        <f t="shared" si="21"/>
        <v>0</v>
      </c>
      <c r="BW54" s="949">
        <f t="shared" si="10"/>
        <v>2047</v>
      </c>
    </row>
    <row r="55" spans="3:75" ht="16.2" thickBot="1" x14ac:dyDescent="0.35">
      <c r="C55" s="122"/>
      <c r="D55" s="7"/>
      <c r="E55" s="7"/>
      <c r="F55" s="133">
        <v>0.25</v>
      </c>
      <c r="G55" s="135">
        <f>E57*F55</f>
        <v>78723961.354028419</v>
      </c>
      <c r="H55" s="461">
        <v>0.9</v>
      </c>
      <c r="I55" s="135">
        <f>G55*H55</f>
        <v>70851565.218625575</v>
      </c>
      <c r="J55" s="461">
        <v>0</v>
      </c>
      <c r="K55" s="440">
        <f>I55*J55</f>
        <v>0</v>
      </c>
      <c r="AL55" s="239"/>
      <c r="AN55" s="1002" t="s">
        <v>867</v>
      </c>
      <c r="AO55" s="254"/>
      <c r="AP55" s="253"/>
      <c r="AR55" s="239"/>
      <c r="AS55" s="484">
        <v>0.17</v>
      </c>
      <c r="AT55" s="32">
        <f>AS55</f>
        <v>0.17</v>
      </c>
      <c r="BB55" s="332" t="s">
        <v>989</v>
      </c>
      <c r="BC55" s="953">
        <f t="shared" si="24"/>
        <v>2048</v>
      </c>
      <c r="BD55" s="691">
        <f t="shared" si="25"/>
        <v>166479606990188.38</v>
      </c>
      <c r="BE55" s="894">
        <f t="shared" si="26"/>
        <v>2.5000000000000001E-2</v>
      </c>
      <c r="BF55" s="691">
        <f t="shared" si="27"/>
        <v>4161990174754.7095</v>
      </c>
      <c r="BG55" s="895" t="s">
        <v>1280</v>
      </c>
      <c r="BH55" s="76"/>
      <c r="BI55" s="953">
        <f t="shared" si="19"/>
        <v>2048</v>
      </c>
      <c r="BJ55" s="691">
        <f t="shared" si="22"/>
        <v>10737418.24</v>
      </c>
      <c r="BK55" s="987">
        <v>64</v>
      </c>
      <c r="BL55" s="875">
        <f t="shared" si="16"/>
        <v>687194767.36000001</v>
      </c>
      <c r="BM55" s="969"/>
      <c r="BN55" s="977"/>
      <c r="BO55" s="691">
        <f t="shared" si="17"/>
        <v>0</v>
      </c>
      <c r="BQ55" s="691">
        <f t="shared" si="7"/>
        <v>0</v>
      </c>
      <c r="BR55" s="691">
        <f t="shared" si="20"/>
        <v>10977936408.576</v>
      </c>
      <c r="BS55" s="894">
        <f t="shared" si="14"/>
        <v>0.125</v>
      </c>
      <c r="BT55" s="975">
        <f t="shared" si="11"/>
        <v>1372242051.072</v>
      </c>
      <c r="BU55" s="691">
        <f t="shared" si="13"/>
        <v>1111127962.8035061</v>
      </c>
      <c r="BV55" s="183">
        <f t="shared" si="21"/>
        <v>0</v>
      </c>
      <c r="BW55" s="949">
        <f t="shared" si="10"/>
        <v>2048</v>
      </c>
    </row>
    <row r="56" spans="3:75" ht="18.600000000000001" thickBot="1" x14ac:dyDescent="0.4">
      <c r="C56" s="122"/>
      <c r="D56" s="7"/>
      <c r="E56" s="7"/>
      <c r="F56" s="136"/>
      <c r="G56" s="136" t="s">
        <v>279</v>
      </c>
      <c r="H56" s="7"/>
      <c r="I56" s="451" t="s">
        <v>284</v>
      </c>
      <c r="J56" s="122"/>
      <c r="K56" s="8"/>
      <c r="S56" s="88"/>
      <c r="AL56" s="239"/>
      <c r="AN56" s="719">
        <f>AN48-AN53</f>
        <v>27778199070.087654</v>
      </c>
      <c r="AO56" s="253"/>
      <c r="AP56" s="253"/>
      <c r="AQ56" s="253"/>
      <c r="AR56" s="239" t="s">
        <v>892</v>
      </c>
      <c r="AS56" s="615">
        <f>AT58</f>
        <v>2.4414889719678974</v>
      </c>
      <c r="AT56" s="569" t="s">
        <v>980</v>
      </c>
      <c r="AU56" s="569"/>
      <c r="AV56" s="181"/>
      <c r="AW56" s="181"/>
      <c r="AX56" s="252"/>
      <c r="AY56" s="252"/>
      <c r="AZ56" s="252"/>
      <c r="BA56" s="252"/>
      <c r="BG56" s="1"/>
      <c r="BM56" s="979">
        <f>SUM(BM22:BM55)</f>
        <v>15.975</v>
      </c>
      <c r="BN56" s="979">
        <f>SUM(BN22:BN55)</f>
        <v>0</v>
      </c>
    </row>
    <row r="57" spans="3:75" ht="16.8" thickTop="1" thickBot="1" x14ac:dyDescent="0.35">
      <c r="C57" s="137" t="s">
        <v>291</v>
      </c>
      <c r="D57" s="138">
        <f>E57/E51</f>
        <v>5.5576698964803502E-2</v>
      </c>
      <c r="E57" s="139">
        <f>E14</f>
        <v>314895845.41611367</v>
      </c>
      <c r="F57" s="140">
        <v>0.5</v>
      </c>
      <c r="G57" s="139">
        <f>E57*F57</f>
        <v>157447922.70805684</v>
      </c>
      <c r="H57" s="463">
        <v>0.95</v>
      </c>
      <c r="I57" s="139">
        <f>G57*H57</f>
        <v>149575526.57265398</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48"/>
      <c r="AM57" s="937" t="s">
        <v>1293</v>
      </c>
      <c r="AN57" s="1003"/>
      <c r="AO57" s="253"/>
      <c r="AP57" s="877" t="s">
        <v>1293</v>
      </c>
      <c r="AQ57" s="252"/>
      <c r="AR57" s="239"/>
      <c r="AS57" s="208">
        <f>AS50</f>
        <v>0.41505312523454257</v>
      </c>
      <c r="AT57" s="80">
        <f>AS57</f>
        <v>0.41505312523454257</v>
      </c>
      <c r="BQ57" s="77" t="s">
        <v>966</v>
      </c>
      <c r="BR57" s="77"/>
      <c r="BS57" s="77" t="s">
        <v>965</v>
      </c>
      <c r="BT57" s="77"/>
      <c r="BU57" s="77"/>
    </row>
    <row r="58" spans="3:75"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7" t="s">
        <v>1294</v>
      </c>
      <c r="AN58" s="996">
        <f>AN56*AO58</f>
        <v>1111127962.8035061</v>
      </c>
      <c r="AO58" s="923">
        <v>0.04</v>
      </c>
      <c r="AP58" s="924" t="s">
        <v>1443</v>
      </c>
      <c r="AQ58" s="925"/>
      <c r="AR58" s="239"/>
      <c r="AS58" s="76"/>
      <c r="AT58" s="1">
        <f>AT57/AT55</f>
        <v>2.4414889719678974</v>
      </c>
      <c r="BQ58" s="77" t="s">
        <v>785</v>
      </c>
      <c r="BR58" s="77"/>
      <c r="BS58" s="77" t="s">
        <v>962</v>
      </c>
      <c r="BT58" s="77"/>
      <c r="BU58" s="77"/>
    </row>
    <row r="59" spans="3:75"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76"/>
      <c r="AK59" s="410"/>
      <c r="AL59" s="928"/>
      <c r="AM59" s="948" t="s">
        <v>1295</v>
      </c>
      <c r="AN59" s="911">
        <f>AN56*AO59</f>
        <v>1388909953.5043828</v>
      </c>
      <c r="AO59" s="912">
        <v>0.05</v>
      </c>
      <c r="AP59" s="875" t="s">
        <v>1162</v>
      </c>
      <c r="AQ59" s="126"/>
      <c r="AR59" s="239"/>
      <c r="AS59" s="76"/>
      <c r="AX59" s="32"/>
    </row>
    <row r="60" spans="3:75" ht="16.2" thickBot="1" x14ac:dyDescent="0.35">
      <c r="C60" s="397" t="s">
        <v>276</v>
      </c>
      <c r="D60" s="398">
        <f>100%-D57-D63</f>
        <v>0.78125</v>
      </c>
      <c r="E60" s="399">
        <f>E51*D60</f>
        <v>4426538168.2193365</v>
      </c>
      <c r="F60" s="400">
        <v>1</v>
      </c>
      <c r="G60" s="399">
        <f>E60*F60</f>
        <v>4426538168.2193365</v>
      </c>
      <c r="H60" s="464">
        <v>0.9</v>
      </c>
      <c r="I60" s="399">
        <f>G60*H60</f>
        <v>3983884351.3974028</v>
      </c>
      <c r="J60" s="464">
        <v>0</v>
      </c>
      <c r="K60" s="453">
        <f>I60*J60</f>
        <v>0</v>
      </c>
      <c r="S60" s="88"/>
      <c r="Y60" s="238"/>
      <c r="Z60" s="238"/>
      <c r="AA60" s="238"/>
      <c r="AB60" s="238"/>
      <c r="AC60" s="238"/>
      <c r="AD60" s="238"/>
      <c r="AE60" s="238"/>
      <c r="AF60" s="238"/>
      <c r="AG60" s="238"/>
      <c r="AH60" s="238"/>
      <c r="AI60" s="238"/>
      <c r="AJ60" s="76"/>
      <c r="AK60" s="76"/>
      <c r="AL60" s="239"/>
      <c r="AM60" s="948" t="s">
        <v>1296</v>
      </c>
      <c r="AN60" s="911">
        <f>AN56*AO60</f>
        <v>1111127962.8035061</v>
      </c>
      <c r="AO60" s="912">
        <v>0.04</v>
      </c>
      <c r="AP60" s="875" t="s">
        <v>1441</v>
      </c>
      <c r="AQ60" s="126"/>
      <c r="AR60" s="239"/>
      <c r="AS60" s="691">
        <f>AS32+AS47</f>
        <v>28646787810.418243</v>
      </c>
      <c r="AT60" s="1" t="s">
        <v>958</v>
      </c>
      <c r="BG60" s="1"/>
      <c r="BK60" s="1"/>
      <c r="BV60" s="1"/>
      <c r="BW60" s="1"/>
    </row>
    <row r="61" spans="3:75" x14ac:dyDescent="0.3">
      <c r="C61" s="403"/>
      <c r="D61" s="118"/>
      <c r="E61" s="837"/>
      <c r="F61" s="7"/>
      <c r="G61" s="7"/>
      <c r="H61" s="7"/>
      <c r="I61" s="8"/>
      <c r="J61" s="122"/>
      <c r="K61" s="8"/>
      <c r="S61" s="88"/>
      <c r="Y61" s="238"/>
      <c r="Z61" s="238"/>
      <c r="AA61" s="238"/>
      <c r="AB61" s="238"/>
      <c r="AC61" s="238"/>
      <c r="AD61" s="238"/>
      <c r="AE61" s="238"/>
      <c r="AF61" s="238"/>
      <c r="AG61" s="238"/>
      <c r="AH61" s="238"/>
      <c r="AI61" s="238"/>
      <c r="AJ61" s="76"/>
      <c r="AK61" s="410"/>
      <c r="AL61" s="927"/>
      <c r="AM61" s="948" t="s">
        <v>1297</v>
      </c>
      <c r="AN61" s="911">
        <f>AN56*AO61</f>
        <v>1666691944.2052591</v>
      </c>
      <c r="AO61" s="912">
        <v>0.06</v>
      </c>
      <c r="AP61" s="875" t="s">
        <v>1303</v>
      </c>
      <c r="AQ61" s="126"/>
      <c r="AR61" s="253"/>
      <c r="AS61" s="647">
        <f>AS60/AS47</f>
        <v>4.3204250018763402</v>
      </c>
    </row>
    <row r="62" spans="3:75"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76"/>
      <c r="AK62" s="76"/>
      <c r="AL62" s="239"/>
      <c r="AM62" s="948" t="s">
        <v>1300</v>
      </c>
      <c r="AN62" s="911">
        <f>AN56*AO62</f>
        <v>1666691944.2052591</v>
      </c>
      <c r="AO62" s="912">
        <v>0.06</v>
      </c>
      <c r="AP62" s="410" t="s">
        <v>1442</v>
      </c>
      <c r="AQ62" s="126"/>
      <c r="AR62" s="253"/>
    </row>
    <row r="63" spans="3:75" ht="16.2" thickBot="1" x14ac:dyDescent="0.35">
      <c r="C63" s="149" t="s">
        <v>737</v>
      </c>
      <c r="D63" s="150">
        <f>E63/E51</f>
        <v>0.16317330103519651</v>
      </c>
      <c r="E63" s="151">
        <f>E21</f>
        <v>924534841.68530071</v>
      </c>
      <c r="F63" s="152">
        <v>0.3</v>
      </c>
      <c r="G63" s="151">
        <f>E63*F63</f>
        <v>277360452.5055902</v>
      </c>
      <c r="H63" s="465">
        <v>0.9</v>
      </c>
      <c r="I63" s="151">
        <f>G63*H63</f>
        <v>249624407.2550312</v>
      </c>
      <c r="J63" s="465">
        <v>0</v>
      </c>
      <c r="K63" s="444">
        <f>I63*J63</f>
        <v>0</v>
      </c>
      <c r="S63" s="88"/>
      <c r="Y63" s="238"/>
      <c r="Z63" s="238"/>
      <c r="AA63" s="238"/>
      <c r="AB63" s="238"/>
      <c r="AC63" s="238"/>
      <c r="AD63" s="238"/>
      <c r="AE63" s="238"/>
      <c r="AF63" s="238"/>
      <c r="AG63" s="238"/>
      <c r="AH63" s="238"/>
      <c r="AI63" s="926"/>
      <c r="AJ63" s="410"/>
      <c r="AK63" s="410"/>
      <c r="AL63" s="927"/>
      <c r="AM63" s="948" t="s">
        <v>1305</v>
      </c>
      <c r="AN63" s="911">
        <f>AN56*AO63</f>
        <v>1111127962.8035061</v>
      </c>
      <c r="AO63" s="912">
        <v>0.04</v>
      </c>
      <c r="AP63" s="410" t="s">
        <v>148</v>
      </c>
      <c r="AQ63" s="126"/>
      <c r="AR63" s="253"/>
    </row>
    <row r="64" spans="3:75" ht="16.2" thickBot="1" x14ac:dyDescent="0.35">
      <c r="C64" s="141"/>
      <c r="D64" s="429"/>
      <c r="E64" s="371"/>
      <c r="F64" s="430"/>
      <c r="G64" s="432" t="s">
        <v>738</v>
      </c>
      <c r="H64" s="142"/>
      <c r="I64" s="449" t="s">
        <v>738</v>
      </c>
      <c r="J64" s="433"/>
      <c r="K64" s="434"/>
      <c r="S64" s="88"/>
      <c r="Y64" s="238"/>
      <c r="AE64" s="252"/>
      <c r="AG64" s="88"/>
      <c r="AI64" s="106"/>
      <c r="AJ64" s="964"/>
      <c r="AK64" s="106"/>
      <c r="AL64" s="929"/>
      <c r="AM64" s="938"/>
      <c r="AN64" s="1004"/>
      <c r="AO64" s="1005"/>
      <c r="AP64" s="1005"/>
      <c r="AQ64" s="903"/>
      <c r="AR64" s="253"/>
    </row>
    <row r="65" spans="3:75" ht="16.2" thickBot="1" x14ac:dyDescent="0.35">
      <c r="C65" s="141"/>
      <c r="D65" s="429"/>
      <c r="E65" s="371"/>
      <c r="F65" s="430">
        <v>0.25</v>
      </c>
      <c r="G65" s="432">
        <f>E63*F65</f>
        <v>231133710.42132518</v>
      </c>
      <c r="H65" s="466">
        <v>0.95</v>
      </c>
      <c r="I65" s="432">
        <f>G65*H65</f>
        <v>219577024.9002589</v>
      </c>
      <c r="J65" s="466">
        <v>0</v>
      </c>
      <c r="K65" s="449">
        <f>I65*J65</f>
        <v>0</v>
      </c>
      <c r="S65" s="88"/>
      <c r="Y65" s="238"/>
      <c r="AE65" s="252"/>
      <c r="AG65" s="88"/>
      <c r="AI65" s="106"/>
      <c r="AJ65" s="964"/>
      <c r="AK65" s="106"/>
      <c r="AL65" s="927"/>
      <c r="AM65" s="939" t="s">
        <v>1299</v>
      </c>
      <c r="AN65" s="1006">
        <f>AN53</f>
        <v>5497558138.8800001</v>
      </c>
      <c r="AO65" s="935">
        <f>AN65/AN56</f>
        <v>0.1979090914068625</v>
      </c>
      <c r="AP65" s="898" t="s">
        <v>1311</v>
      </c>
      <c r="AQ65" s="905"/>
      <c r="AR65" s="253"/>
    </row>
    <row r="66" spans="3:75" ht="16.2" thickBot="1" x14ac:dyDescent="0.35">
      <c r="C66" s="122"/>
      <c r="D66" s="94">
        <f>SUM(D57:D63)</f>
        <v>1</v>
      </c>
      <c r="E66" s="7"/>
      <c r="F66" s="153"/>
      <c r="G66" s="154" t="s">
        <v>293</v>
      </c>
      <c r="H66" s="7"/>
      <c r="I66" s="448" t="s">
        <v>294</v>
      </c>
      <c r="J66" s="122"/>
      <c r="K66" s="8"/>
      <c r="S66" s="88"/>
      <c r="W66" s="77" t="s">
        <v>805</v>
      </c>
      <c r="Y66" s="238"/>
      <c r="AA66" s="576"/>
      <c r="AB66" s="88"/>
      <c r="AD66" s="88"/>
      <c r="AE66" s="252"/>
      <c r="AG66" s="88"/>
      <c r="AH66" s="88"/>
      <c r="AI66" s="106"/>
      <c r="AJ66" s="964"/>
      <c r="AK66" s="106"/>
      <c r="AL66" s="106"/>
      <c r="AM66" s="940" t="s">
        <v>1325</v>
      </c>
      <c r="AN66" s="930">
        <f>AN56*AO66</f>
        <v>138890995.35043827</v>
      </c>
      <c r="AO66" s="931">
        <v>5.0000000000000001E-3</v>
      </c>
      <c r="AP66" s="898" t="s">
        <v>1315</v>
      </c>
      <c r="AQ66" s="905"/>
      <c r="AR66" s="946">
        <v>272</v>
      </c>
      <c r="AS66" s="181" t="s">
        <v>1314</v>
      </c>
    </row>
    <row r="67" spans="3:75" ht="16.2" thickBot="1" x14ac:dyDescent="0.35">
      <c r="C67" s="122"/>
      <c r="D67" s="7"/>
      <c r="E67" s="7"/>
      <c r="F67" s="153">
        <v>0.2</v>
      </c>
      <c r="G67" s="99">
        <f>E63*F67</f>
        <v>184906968.33706015</v>
      </c>
      <c r="H67" s="467">
        <v>0.9</v>
      </c>
      <c r="I67" s="99">
        <f>G67*H67</f>
        <v>166416271.50335413</v>
      </c>
      <c r="J67" s="467">
        <v>0</v>
      </c>
      <c r="K67" s="443">
        <f>I67*J67</f>
        <v>0</v>
      </c>
      <c r="S67" s="88"/>
      <c r="W67" s="949">
        <v>2024</v>
      </c>
      <c r="Y67" s="76"/>
      <c r="AA67" s="952"/>
      <c r="AB67" s="252"/>
      <c r="AD67" s="252"/>
      <c r="AE67" s="252"/>
      <c r="AG67" s="88"/>
      <c r="AI67" s="106"/>
      <c r="AJ67" s="964"/>
      <c r="AK67" s="106"/>
      <c r="AL67" s="106"/>
      <c r="AM67" s="940" t="s">
        <v>1307</v>
      </c>
      <c r="AN67" s="930">
        <f>AN56*AO67</f>
        <v>833345972.10262954</v>
      </c>
      <c r="AO67" s="931">
        <v>0.03</v>
      </c>
      <c r="AP67" s="898" t="s">
        <v>1323</v>
      </c>
      <c r="AQ67" s="905"/>
      <c r="AR67" s="945">
        <v>100</v>
      </c>
      <c r="AS67" s="938">
        <f>AR66*AR67</f>
        <v>27200</v>
      </c>
      <c r="AT67" s="1" t="s">
        <v>1316</v>
      </c>
    </row>
    <row r="68" spans="3:75" ht="16.2" thickBot="1" x14ac:dyDescent="0.35">
      <c r="C68" s="122"/>
      <c r="D68" s="7"/>
      <c r="E68" s="7"/>
      <c r="F68" s="445"/>
      <c r="G68" s="445" t="s">
        <v>733</v>
      </c>
      <c r="H68" s="7"/>
      <c r="I68" s="452" t="s">
        <v>733</v>
      </c>
      <c r="J68" s="122"/>
      <c r="K68" s="8"/>
      <c r="R68" s="38"/>
      <c r="S68" s="582"/>
      <c r="W68" s="77" t="s">
        <v>672</v>
      </c>
      <c r="Y68" s="238"/>
      <c r="AA68" s="576"/>
      <c r="AB68" s="88"/>
      <c r="AD68" s="88"/>
      <c r="AE68" s="252"/>
      <c r="AG68" s="88"/>
      <c r="AH68" s="88"/>
      <c r="AI68" s="106"/>
      <c r="AJ68" s="964"/>
      <c r="AK68" s="106"/>
      <c r="AL68" s="251"/>
      <c r="AM68" s="940" t="s">
        <v>1308</v>
      </c>
      <c r="AN68" s="930">
        <f>AN56*AO68</f>
        <v>833345972.10262954</v>
      </c>
      <c r="AO68" s="931">
        <v>0.03</v>
      </c>
      <c r="AP68" s="898" t="s">
        <v>1438</v>
      </c>
      <c r="AQ68" s="905"/>
      <c r="AR68" s="600"/>
      <c r="AS68" s="1">
        <v>1000</v>
      </c>
      <c r="AT68" s="1" t="s">
        <v>226</v>
      </c>
    </row>
    <row r="69" spans="3:75" ht="16.2" thickBot="1" x14ac:dyDescent="0.35">
      <c r="C69" s="122"/>
      <c r="D69" s="7"/>
      <c r="E69" s="7"/>
      <c r="F69" s="438">
        <v>0.2</v>
      </c>
      <c r="G69" s="446">
        <f>E63*F69</f>
        <v>184906968.33706015</v>
      </c>
      <c r="H69" s="447">
        <v>0.25</v>
      </c>
      <c r="I69" s="446">
        <f>G69*H69</f>
        <v>46226742.084265038</v>
      </c>
      <c r="J69" s="447">
        <v>0</v>
      </c>
      <c r="K69" s="439">
        <f>I69*J69</f>
        <v>0</v>
      </c>
      <c r="Q69" s="240" t="s">
        <v>952</v>
      </c>
      <c r="S69" s="88"/>
      <c r="W69" s="691">
        <f>AQ47</f>
        <v>6630548568.2489748</v>
      </c>
      <c r="Y69" s="238"/>
      <c r="AA69" s="952"/>
      <c r="AB69" s="88"/>
      <c r="AD69" s="88"/>
      <c r="AE69" s="252"/>
      <c r="AF69" s="88"/>
      <c r="AG69" s="88"/>
      <c r="AH69" s="88"/>
      <c r="AI69" s="88"/>
      <c r="AJ69" s="958"/>
      <c r="AK69" s="88"/>
      <c r="AL69" s="88"/>
      <c r="AM69" s="940" t="s">
        <v>1317</v>
      </c>
      <c r="AN69" s="930">
        <f>AN56*AO69</f>
        <v>833345972.10262954</v>
      </c>
      <c r="AO69" s="931">
        <v>0.03</v>
      </c>
      <c r="AP69" s="898" t="s">
        <v>1356</v>
      </c>
      <c r="AQ69" s="905"/>
      <c r="AR69" s="601"/>
      <c r="AS69" s="1">
        <f>AS67*AS68</f>
        <v>27200000</v>
      </c>
      <c r="AT69" s="1" t="s">
        <v>1320</v>
      </c>
    </row>
    <row r="70" spans="3:75" x14ac:dyDescent="0.3">
      <c r="C70" s="122"/>
      <c r="D70" s="7"/>
      <c r="E70" s="7"/>
      <c r="F70" s="142"/>
      <c r="G70" s="371"/>
      <c r="H70" s="142"/>
      <c r="I70" s="434"/>
      <c r="J70" s="142"/>
      <c r="K70" s="434"/>
      <c r="L70" s="240" t="s">
        <v>1367</v>
      </c>
      <c r="O70" s="240" t="s">
        <v>803</v>
      </c>
      <c r="Q70" s="951">
        <f>O72</f>
        <v>256</v>
      </c>
      <c r="S70" s="248" t="s">
        <v>367</v>
      </c>
      <c r="U70" s="77" t="s">
        <v>1328</v>
      </c>
      <c r="W70" s="77" t="s">
        <v>806</v>
      </c>
      <c r="Y70" s="238"/>
      <c r="AA70" s="88"/>
      <c r="AB70" s="88"/>
      <c r="AD70" s="88"/>
      <c r="AE70" s="252"/>
      <c r="AF70" s="88"/>
      <c r="AG70" s="88"/>
      <c r="AH70" s="88"/>
      <c r="AI70" s="88"/>
      <c r="AJ70" s="958"/>
      <c r="AK70" s="88"/>
      <c r="AL70" s="88"/>
      <c r="AM70" s="940" t="s">
        <v>1318</v>
      </c>
      <c r="AN70" s="930">
        <f>AN56*AO70</f>
        <v>833345972.10262954</v>
      </c>
      <c r="AO70" s="931">
        <v>0.03</v>
      </c>
      <c r="AP70" s="898" t="s">
        <v>1357</v>
      </c>
      <c r="AQ70" s="905"/>
      <c r="AR70" s="600"/>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55">
        <f>AO53</f>
        <v>256</v>
      </c>
      <c r="U71" s="77" t="s">
        <v>804</v>
      </c>
      <c r="V71" s="947"/>
      <c r="W71" s="319">
        <v>0.3</v>
      </c>
      <c r="Y71" s="76" t="s">
        <v>893</v>
      </c>
      <c r="Z71" s="76"/>
      <c r="AA71" s="77" t="s">
        <v>1332</v>
      </c>
      <c r="AB71" s="88"/>
      <c r="AE71" s="958"/>
      <c r="AF71" s="644" t="s">
        <v>986</v>
      </c>
      <c r="AG71" s="958"/>
      <c r="AH71" s="88"/>
      <c r="AI71" s="88"/>
      <c r="AJ71" s="958"/>
      <c r="AK71" s="88"/>
      <c r="AL71" s="88"/>
      <c r="AM71" s="940" t="s">
        <v>1319</v>
      </c>
      <c r="AN71" s="930">
        <f>AN56*AO71</f>
        <v>833345972.10262954</v>
      </c>
      <c r="AO71" s="931">
        <v>0.03</v>
      </c>
      <c r="AP71" s="898" t="s">
        <v>1358</v>
      </c>
      <c r="AQ71" s="905"/>
      <c r="AR71" s="936"/>
    </row>
    <row r="72" spans="3:75" x14ac:dyDescent="0.3">
      <c r="C72" s="158"/>
      <c r="D72" s="10"/>
      <c r="E72" s="10"/>
      <c r="F72" s="10"/>
      <c r="G72" s="159">
        <f>SUM(G53:G71)</f>
        <v>5619742113.2364855</v>
      </c>
      <c r="H72" s="160"/>
      <c r="I72" s="172">
        <f>SUM(I53:I71)</f>
        <v>4925517869.6086054</v>
      </c>
      <c r="J72" s="158"/>
      <c r="K72" s="481">
        <f>SUM(K53:K71)</f>
        <v>0</v>
      </c>
      <c r="L72" s="482">
        <f>AN34</f>
        <v>5.872915658143679</v>
      </c>
      <c r="M72" s="480">
        <f>K72*L72</f>
        <v>0</v>
      </c>
      <c r="N72" s="239"/>
      <c r="O72" s="950">
        <f>AO53</f>
        <v>256</v>
      </c>
      <c r="P72" s="239"/>
      <c r="Q72" s="480">
        <f>M72*O72</f>
        <v>0</v>
      </c>
      <c r="R72" s="239"/>
      <c r="S72" s="956">
        <f>M72*S71</f>
        <v>0</v>
      </c>
      <c r="T72" s="239"/>
      <c r="U72" s="910">
        <f>Q72+S72</f>
        <v>0</v>
      </c>
      <c r="V72" s="949" t="s">
        <v>1330</v>
      </c>
      <c r="W72" s="910">
        <f>W69*W71</f>
        <v>1989164570.4746923</v>
      </c>
      <c r="X72" s="949" t="s">
        <v>1330</v>
      </c>
      <c r="Y72" s="910">
        <f>AN59+AN60+AN61+AN62+AN63</f>
        <v>6944549767.5219135</v>
      </c>
      <c r="Z72" s="949" t="s">
        <v>1331</v>
      </c>
      <c r="AA72" s="910">
        <f>U72+W72+Y72</f>
        <v>8933714337.9966049</v>
      </c>
      <c r="AB72" s="238"/>
      <c r="AC72" s="238"/>
      <c r="AD72" s="961"/>
      <c r="AE72" s="644" t="s">
        <v>805</v>
      </c>
      <c r="AF72" s="958"/>
      <c r="AG72" s="644" t="s">
        <v>987</v>
      </c>
      <c r="AH72" s="958"/>
      <c r="AI72" s="181"/>
      <c r="AJ72" s="958"/>
      <c r="AK72" s="88"/>
      <c r="AL72" s="88"/>
      <c r="AM72" s="940" t="s">
        <v>1312</v>
      </c>
      <c r="AN72" s="930">
        <f>AN56*AO72</f>
        <v>833345972.10262954</v>
      </c>
      <c r="AO72" s="931">
        <v>0.03</v>
      </c>
      <c r="AP72" s="898" t="s">
        <v>1359</v>
      </c>
      <c r="AQ72" s="905"/>
      <c r="AR72" s="812"/>
    </row>
    <row r="73" spans="3:75"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I73" s="88"/>
      <c r="AJ73" s="88"/>
      <c r="AK73" s="88"/>
      <c r="AL73" s="88"/>
      <c r="AM73" s="940" t="s">
        <v>1313</v>
      </c>
      <c r="AN73" s="930">
        <f>AN56*AO73</f>
        <v>555563981.40175307</v>
      </c>
      <c r="AO73" s="931">
        <v>0.02</v>
      </c>
      <c r="AP73" s="898" t="s">
        <v>1361</v>
      </c>
      <c r="AQ73" s="905"/>
      <c r="AR73" s="255"/>
    </row>
    <row r="74" spans="3:75"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77" si="28">AF73</f>
        <v>2.5000000000000001E-2</v>
      </c>
      <c r="AG74" s="691">
        <f t="shared" ref="AG74:AG77" si="29">AE74*AF74</f>
        <v>136050000</v>
      </c>
      <c r="AI74" s="88"/>
      <c r="AJ74" s="252"/>
      <c r="AK74" s="252"/>
      <c r="AL74" s="252"/>
      <c r="AM74" s="940" t="s">
        <v>1324</v>
      </c>
      <c r="AN74" s="930">
        <f>AN56*AO74</f>
        <v>2222255925.6070123</v>
      </c>
      <c r="AO74" s="931">
        <v>0.08</v>
      </c>
      <c r="AP74" s="898" t="s">
        <v>1439</v>
      </c>
      <c r="AQ74" s="905"/>
      <c r="AR74" s="255"/>
    </row>
    <row r="75" spans="3:75"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77" si="31">AE74+AG74</f>
        <v>5578050000</v>
      </c>
      <c r="AF75" s="963">
        <f t="shared" si="28"/>
        <v>2.5000000000000001E-2</v>
      </c>
      <c r="AG75" s="691">
        <f t="shared" si="29"/>
        <v>139451250</v>
      </c>
      <c r="AI75" s="88"/>
      <c r="AJ75" s="252"/>
      <c r="AK75" s="88"/>
      <c r="AL75" s="88"/>
      <c r="AM75" s="940" t="s">
        <v>1306</v>
      </c>
      <c r="AN75" s="930">
        <f>AN56*AO75</f>
        <v>555563981.40175307</v>
      </c>
      <c r="AO75" s="931">
        <v>0.02</v>
      </c>
      <c r="AP75" s="899" t="s">
        <v>1360</v>
      </c>
      <c r="AQ75" s="932"/>
      <c r="AR75" s="255"/>
    </row>
    <row r="76" spans="3:75" x14ac:dyDescent="0.3">
      <c r="R76" s="88"/>
      <c r="S76" s="252"/>
      <c r="T76" s="88"/>
      <c r="U76" s="88"/>
      <c r="V76" s="88"/>
      <c r="W76" s="88"/>
      <c r="X76" s="88"/>
      <c r="Y76" s="88"/>
      <c r="Z76" s="361" t="s">
        <v>1347</v>
      </c>
      <c r="AA76" s="736">
        <f>AA72</f>
        <v>8933714337.9966049</v>
      </c>
      <c r="AB76" s="88"/>
      <c r="AD76" s="960">
        <f t="shared" si="30"/>
        <v>2018</v>
      </c>
      <c r="AE76" s="691">
        <f t="shared" si="31"/>
        <v>5717501250</v>
      </c>
      <c r="AF76" s="963">
        <f t="shared" si="28"/>
        <v>2.5000000000000001E-2</v>
      </c>
      <c r="AG76" s="691">
        <f t="shared" si="29"/>
        <v>142937531.25</v>
      </c>
      <c r="AI76" s="88"/>
      <c r="AJ76" s="252"/>
      <c r="AK76" s="88"/>
      <c r="AL76" s="88"/>
      <c r="AM76" s="941" t="s">
        <v>1309</v>
      </c>
      <c r="AN76" s="930">
        <f>AN56*AO76</f>
        <v>555563981.40175307</v>
      </c>
      <c r="AO76" s="931">
        <v>0.02</v>
      </c>
      <c r="AP76" s="899" t="s">
        <v>1440</v>
      </c>
      <c r="AQ76" s="932"/>
      <c r="AR76" s="255"/>
    </row>
    <row r="77" spans="3:75"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I77" s="88"/>
      <c r="AJ77" s="88"/>
      <c r="AK77" s="88"/>
      <c r="AL77" s="88"/>
      <c r="AM77" s="940" t="s">
        <v>1310</v>
      </c>
      <c r="AN77" s="904">
        <f>AN56*AO77</f>
        <v>1388909953.5043828</v>
      </c>
      <c r="AO77" s="1065">
        <v>0.05</v>
      </c>
      <c r="AP77" s="898" t="s">
        <v>1362</v>
      </c>
      <c r="AQ77" s="905"/>
      <c r="AR77" s="255"/>
    </row>
    <row r="78" spans="3:75" x14ac:dyDescent="0.3">
      <c r="R78" s="88"/>
      <c r="S78" s="252"/>
      <c r="T78" s="88"/>
      <c r="U78" s="88"/>
      <c r="V78" s="88"/>
      <c r="W78" s="88"/>
      <c r="X78" s="88"/>
      <c r="Y78" s="88"/>
      <c r="Z78" s="88"/>
      <c r="AA78" s="541"/>
      <c r="AB78" s="252"/>
      <c r="AD78" s="960">
        <f>AD77+1</f>
        <v>2020</v>
      </c>
      <c r="AE78" s="691">
        <f>AE77+AG77</f>
        <v>6006949750.78125</v>
      </c>
      <c r="AF78" s="963">
        <f>AF77</f>
        <v>2.5000000000000001E-2</v>
      </c>
      <c r="AG78" s="691">
        <f>AE78*AF78</f>
        <v>150173743.76953125</v>
      </c>
      <c r="AI78" s="88"/>
      <c r="AJ78" s="88"/>
      <c r="AK78" s="88"/>
      <c r="AL78" s="88"/>
      <c r="AM78" s="940" t="s">
        <v>1452</v>
      </c>
      <c r="AN78" s="904">
        <f>AN56*AO78</f>
        <v>1388909953.5043828</v>
      </c>
      <c r="AO78" s="1065">
        <v>0.05</v>
      </c>
      <c r="AP78" s="898" t="s">
        <v>1450</v>
      </c>
      <c r="AQ78" s="905"/>
      <c r="AR78" s="255"/>
    </row>
    <row r="79" spans="3:75" x14ac:dyDescent="0.3">
      <c r="R79" s="88"/>
      <c r="S79" s="252"/>
      <c r="T79" s="88"/>
      <c r="U79" s="88"/>
      <c r="V79" s="88"/>
      <c r="W79" s="88"/>
      <c r="X79" s="88"/>
      <c r="Y79" s="88"/>
      <c r="Z79" s="88"/>
      <c r="AA79" s="541"/>
      <c r="AB79" s="252"/>
      <c r="AD79" s="960"/>
      <c r="AE79" s="691"/>
      <c r="AF79" s="963"/>
      <c r="AG79" s="691"/>
      <c r="AI79" s="88"/>
      <c r="AJ79" s="88"/>
      <c r="AK79" s="88"/>
      <c r="AL79" s="88"/>
      <c r="AM79" s="940" t="s">
        <v>1453</v>
      </c>
      <c r="AN79" s="904">
        <f>AN56*AO79</f>
        <v>277781990.70087653</v>
      </c>
      <c r="AO79" s="1065">
        <v>0.01</v>
      </c>
      <c r="AP79" s="898" t="s">
        <v>1451</v>
      </c>
      <c r="AQ79" s="905"/>
      <c r="AR79" s="255"/>
    </row>
    <row r="80" spans="3:75" x14ac:dyDescent="0.3">
      <c r="R80" s="88"/>
      <c r="S80" s="252"/>
      <c r="T80" s="88"/>
      <c r="U80" s="88"/>
      <c r="V80" s="88"/>
      <c r="W80" s="88"/>
      <c r="X80" s="88"/>
      <c r="Y80" s="88"/>
      <c r="Z80" s="555" t="s">
        <v>1333</v>
      </c>
      <c r="AA80" s="957">
        <f>AA72/W72</f>
        <v>4.4911891507622581</v>
      </c>
      <c r="AB80" s="88"/>
      <c r="AD80" s="960">
        <f>AD78+1</f>
        <v>2021</v>
      </c>
      <c r="AE80" s="691">
        <f>AE78+AG78</f>
        <v>6157123494.5507813</v>
      </c>
      <c r="AF80" s="963">
        <f>AF78</f>
        <v>2.5000000000000001E-2</v>
      </c>
      <c r="AG80" s="691">
        <f t="shared" ref="AG80:AG107" si="32">AE80*AF80</f>
        <v>153928087.36376953</v>
      </c>
      <c r="AI80" s="88"/>
      <c r="AJ80" s="88"/>
      <c r="AK80" s="88"/>
      <c r="AL80" s="88"/>
      <c r="AM80" s="940" t="s">
        <v>1326</v>
      </c>
      <c r="AN80" s="904">
        <f>AN56*AO80</f>
        <v>833345972.10262954</v>
      </c>
      <c r="AO80" s="1065">
        <v>0.03</v>
      </c>
      <c r="AP80" s="898" t="s">
        <v>1348</v>
      </c>
      <c r="AQ80" s="905"/>
      <c r="AR80" s="251"/>
    </row>
    <row r="81" spans="18:45" x14ac:dyDescent="0.3">
      <c r="R81" s="88"/>
      <c r="S81" s="252"/>
      <c r="T81" s="88"/>
      <c r="U81" s="88"/>
      <c r="V81" s="88"/>
      <c r="W81" s="88"/>
      <c r="AB81" s="88"/>
      <c r="AD81" s="960">
        <f t="shared" ref="AD81:AD107" si="33">AD80+1</f>
        <v>2022</v>
      </c>
      <c r="AE81" s="691">
        <f t="shared" ref="AE81:AE107" si="34">AE80+AG80</f>
        <v>6311051581.9145508</v>
      </c>
      <c r="AF81" s="963">
        <f t="shared" ref="AF81:AF107" si="35">AF80</f>
        <v>2.5000000000000001E-2</v>
      </c>
      <c r="AG81" s="691">
        <f t="shared" si="32"/>
        <v>157776289.54786378</v>
      </c>
      <c r="AI81" s="88"/>
      <c r="AJ81" s="88"/>
      <c r="AK81" s="88"/>
      <c r="AL81" s="88"/>
      <c r="AM81" s="940" t="s">
        <v>1298</v>
      </c>
      <c r="AN81" s="930">
        <f>AN56*AO81</f>
        <v>833345972.10262954</v>
      </c>
      <c r="AO81" s="931">
        <v>0.03</v>
      </c>
      <c r="AP81" s="898" t="s">
        <v>1363</v>
      </c>
      <c r="AQ81" s="905"/>
      <c r="AR81" s="251"/>
    </row>
    <row r="82" spans="18:45" x14ac:dyDescent="0.3">
      <c r="R82" s="88"/>
      <c r="S82" s="252"/>
      <c r="T82" s="88"/>
      <c r="U82" s="88"/>
      <c r="V82" s="88"/>
      <c r="W82" s="88"/>
      <c r="X82" s="88"/>
      <c r="Y82" s="88"/>
      <c r="Z82" s="88"/>
      <c r="AA82" s="88"/>
      <c r="AB82" s="88"/>
      <c r="AD82" s="960">
        <f t="shared" si="33"/>
        <v>2023</v>
      </c>
      <c r="AE82" s="691">
        <f t="shared" si="34"/>
        <v>6468827871.4624147</v>
      </c>
      <c r="AF82" s="963">
        <f t="shared" si="35"/>
        <v>2.5000000000000001E-2</v>
      </c>
      <c r="AG82" s="691">
        <f t="shared" si="32"/>
        <v>161720696.78656039</v>
      </c>
      <c r="AI82" s="88"/>
      <c r="AJ82" s="88"/>
      <c r="AK82" s="88"/>
      <c r="AL82" s="88"/>
      <c r="AM82" s="942"/>
      <c r="AN82" s="1067"/>
      <c r="AO82" s="1068">
        <f>SUM(AO58:AO81)</f>
        <v>0.98290909140686278</v>
      </c>
      <c r="AP82" s="1069"/>
      <c r="AQ82" s="1070"/>
      <c r="AR82" s="251"/>
    </row>
    <row r="83" spans="18:45" x14ac:dyDescent="0.3">
      <c r="R83" s="88"/>
      <c r="S83" s="252"/>
      <c r="T83" s="88"/>
      <c r="U83" s="88"/>
      <c r="V83" s="88"/>
      <c r="W83" s="88"/>
      <c r="X83" s="88"/>
      <c r="Y83" s="88"/>
      <c r="Z83" s="88"/>
      <c r="AA83" s="88"/>
      <c r="AB83" s="88"/>
      <c r="AD83" s="965">
        <f t="shared" si="33"/>
        <v>2024</v>
      </c>
      <c r="AE83" s="182">
        <f t="shared" si="34"/>
        <v>6630548568.2489748</v>
      </c>
      <c r="AF83" s="966">
        <f t="shared" si="35"/>
        <v>2.5000000000000001E-2</v>
      </c>
      <c r="AG83" s="967">
        <f t="shared" si="32"/>
        <v>165763714.20622438</v>
      </c>
      <c r="AI83" s="88"/>
      <c r="AJ83" s="88"/>
      <c r="AK83" s="88"/>
      <c r="AL83" s="88"/>
      <c r="AM83" s="941" t="s">
        <v>1321</v>
      </c>
      <c r="AN83" s="904">
        <f>AN56*AO83</f>
        <v>474754661.18883747</v>
      </c>
      <c r="AO83" s="1065">
        <f>100%-AO82</f>
        <v>1.7090908593137222E-2</v>
      </c>
      <c r="AP83" s="898" t="s">
        <v>148</v>
      </c>
      <c r="AQ83" s="905"/>
      <c r="AR83" s="251"/>
    </row>
    <row r="84" spans="18:45" x14ac:dyDescent="0.3">
      <c r="R84" s="88"/>
      <c r="S84" s="88"/>
      <c r="T84" s="88"/>
      <c r="U84" s="88"/>
      <c r="V84" s="88"/>
      <c r="W84" s="88"/>
      <c r="X84" s="88"/>
      <c r="Y84" s="88"/>
      <c r="Z84" s="88"/>
      <c r="AA84" s="88"/>
      <c r="AB84" s="88"/>
      <c r="AD84" s="960">
        <f t="shared" si="33"/>
        <v>2025</v>
      </c>
      <c r="AE84" s="691">
        <f t="shared" si="34"/>
        <v>6796312282.4551992</v>
      </c>
      <c r="AF84" s="963">
        <f t="shared" si="35"/>
        <v>2.5000000000000001E-2</v>
      </c>
      <c r="AG84" s="691">
        <f t="shared" si="32"/>
        <v>169907807.06138</v>
      </c>
      <c r="AI84" s="88"/>
      <c r="AJ84" s="88"/>
      <c r="AK84" s="88"/>
      <c r="AL84" s="88"/>
      <c r="AM84" s="943" t="s">
        <v>1322</v>
      </c>
      <c r="AN84" s="1071">
        <f>SUM(AN58:AN83)</f>
        <v>27778199070.08765</v>
      </c>
      <c r="AO84" s="1072">
        <f>AO82+AO83</f>
        <v>1</v>
      </c>
      <c r="AP84" s="1073" t="s">
        <v>59</v>
      </c>
      <c r="AQ84" s="1074"/>
      <c r="AR84" s="251"/>
    </row>
    <row r="85" spans="18:45" x14ac:dyDescent="0.3">
      <c r="R85" s="88"/>
      <c r="S85" s="88"/>
      <c r="T85" s="88"/>
      <c r="U85" s="88"/>
      <c r="V85" s="88"/>
      <c r="AD85" s="960">
        <f t="shared" si="33"/>
        <v>2026</v>
      </c>
      <c r="AE85" s="691">
        <f t="shared" si="34"/>
        <v>6966220089.5165796</v>
      </c>
      <c r="AF85" s="963">
        <f t="shared" si="35"/>
        <v>2.5000000000000001E-2</v>
      </c>
      <c r="AG85" s="691">
        <f t="shared" si="32"/>
        <v>174155502.2379145</v>
      </c>
      <c r="AI85" s="88"/>
      <c r="AJ85" s="88"/>
      <c r="AK85" s="88"/>
      <c r="AL85" s="88"/>
      <c r="AM85" s="943" t="s">
        <v>1329</v>
      </c>
      <c r="AN85" s="179">
        <f>AN59+AN60+AN61+AN62+AN63</f>
        <v>6944549767.5219135</v>
      </c>
      <c r="AO85" s="160"/>
      <c r="AP85" s="160" t="s">
        <v>1364</v>
      </c>
      <c r="AQ85" s="303"/>
      <c r="AR85" s="251"/>
    </row>
    <row r="86" spans="18:45" x14ac:dyDescent="0.3">
      <c r="AD86" s="960">
        <f t="shared" si="33"/>
        <v>2027</v>
      </c>
      <c r="AE86" s="691">
        <f t="shared" si="34"/>
        <v>7140375591.7544937</v>
      </c>
      <c r="AF86" s="963">
        <f t="shared" si="35"/>
        <v>2.5000000000000001E-2</v>
      </c>
      <c r="AG86" s="691">
        <f t="shared" si="32"/>
        <v>178509389.79386234</v>
      </c>
      <c r="AI86" s="88"/>
      <c r="AJ86" s="88"/>
      <c r="AK86" s="88"/>
      <c r="AL86" s="88"/>
      <c r="AM86" s="364"/>
      <c r="AN86" s="1075"/>
      <c r="AO86" s="1076"/>
      <c r="AP86" s="1076"/>
      <c r="AQ86" s="1077"/>
      <c r="AR86" s="251"/>
    </row>
    <row r="87" spans="18:45" x14ac:dyDescent="0.3">
      <c r="AD87" s="960">
        <f t="shared" si="33"/>
        <v>2028</v>
      </c>
      <c r="AE87" s="691">
        <f t="shared" si="34"/>
        <v>7318884981.5483561</v>
      </c>
      <c r="AF87" s="963">
        <f t="shared" si="35"/>
        <v>2.5000000000000001E-2</v>
      </c>
      <c r="AG87" s="691">
        <f t="shared" si="32"/>
        <v>182972124.53870893</v>
      </c>
      <c r="AI87" s="88"/>
      <c r="AJ87" s="88"/>
      <c r="AK87" s="88"/>
      <c r="AL87" s="88"/>
      <c r="AM87" s="1007" t="s">
        <v>1336</v>
      </c>
      <c r="AN87" s="1066">
        <f>AA72</f>
        <v>8933714337.9966049</v>
      </c>
      <c r="AO87" s="251" t="s">
        <v>1335</v>
      </c>
      <c r="AP87" s="251"/>
      <c r="AQ87" s="251"/>
      <c r="AR87" s="251"/>
    </row>
    <row r="88" spans="18:45" x14ac:dyDescent="0.3">
      <c r="AD88" s="960">
        <f t="shared" si="33"/>
        <v>2029</v>
      </c>
      <c r="AE88" s="691">
        <f t="shared" si="34"/>
        <v>7501857106.0870647</v>
      </c>
      <c r="AF88" s="963">
        <f t="shared" si="35"/>
        <v>2.5000000000000001E-2</v>
      </c>
      <c r="AG88" s="691">
        <f t="shared" si="32"/>
        <v>187546427.65217662</v>
      </c>
      <c r="AI88" s="88"/>
      <c r="AJ88" s="88"/>
      <c r="AK88" s="88"/>
      <c r="AL88" s="88"/>
      <c r="AM88" s="1008" t="s">
        <v>1337</v>
      </c>
      <c r="AN88" s="1009">
        <f>W72</f>
        <v>1989164570.4746923</v>
      </c>
      <c r="AO88" s="898" t="s">
        <v>1338</v>
      </c>
      <c r="AP88" s="898"/>
      <c r="AQ88" s="251"/>
      <c r="AR88" s="251"/>
    </row>
    <row r="89" spans="18:45" x14ac:dyDescent="0.3">
      <c r="AD89" s="960">
        <f t="shared" si="33"/>
        <v>2030</v>
      </c>
      <c r="AE89" s="691">
        <f t="shared" si="34"/>
        <v>7689403533.7392416</v>
      </c>
      <c r="AF89" s="963">
        <f t="shared" si="35"/>
        <v>2.5000000000000001E-2</v>
      </c>
      <c r="AG89" s="691">
        <f t="shared" si="32"/>
        <v>192235088.34348106</v>
      </c>
      <c r="AI89" s="88"/>
      <c r="AJ89" s="88"/>
      <c r="AK89" s="88"/>
      <c r="AL89" s="88"/>
      <c r="AM89" s="106"/>
      <c r="AN89" s="745"/>
      <c r="AO89" s="251"/>
      <c r="AP89" s="251"/>
      <c r="AQ89" s="251"/>
      <c r="AR89" s="251"/>
      <c r="AS89" s="252"/>
    </row>
    <row r="90" spans="18:45" x14ac:dyDescent="0.3">
      <c r="AD90" s="960">
        <f t="shared" si="33"/>
        <v>2031</v>
      </c>
      <c r="AE90" s="691">
        <f t="shared" si="34"/>
        <v>7881638622.0827227</v>
      </c>
      <c r="AF90" s="963">
        <f t="shared" si="35"/>
        <v>2.5000000000000001E-2</v>
      </c>
      <c r="AG90" s="691">
        <f t="shared" si="32"/>
        <v>197040965.55206808</v>
      </c>
      <c r="AI90" s="88"/>
      <c r="AJ90" s="88"/>
      <c r="AK90" s="88"/>
      <c r="AL90" s="88"/>
      <c r="AN90" s="999" t="s">
        <v>1355</v>
      </c>
      <c r="AO90" s="252"/>
      <c r="AP90" s="252"/>
      <c r="AQ90" s="252"/>
      <c r="AR90" s="252"/>
      <c r="AS90" s="252"/>
    </row>
    <row r="91" spans="18:45" x14ac:dyDescent="0.3">
      <c r="AD91" s="960">
        <f t="shared" si="33"/>
        <v>2032</v>
      </c>
      <c r="AE91" s="691">
        <f t="shared" si="34"/>
        <v>8078679587.6347904</v>
      </c>
      <c r="AF91" s="963">
        <f t="shared" si="35"/>
        <v>2.5000000000000001E-2</v>
      </c>
      <c r="AG91" s="691">
        <f t="shared" si="32"/>
        <v>201966989.69086978</v>
      </c>
      <c r="AI91" s="88"/>
      <c r="AJ91" s="88"/>
      <c r="AK91" s="88"/>
      <c r="AL91" s="88"/>
      <c r="AO91" s="252"/>
      <c r="AP91" s="252"/>
      <c r="AQ91" s="252"/>
      <c r="AR91" s="252"/>
      <c r="AS91" s="252"/>
    </row>
    <row r="92" spans="18:45" x14ac:dyDescent="0.3">
      <c r="AD92" s="960">
        <f t="shared" si="33"/>
        <v>2033</v>
      </c>
      <c r="AE92" s="691">
        <f t="shared" si="34"/>
        <v>8280646577.3256598</v>
      </c>
      <c r="AF92" s="963">
        <f t="shared" si="35"/>
        <v>2.5000000000000001E-2</v>
      </c>
      <c r="AG92" s="691">
        <f t="shared" si="32"/>
        <v>207016164.4331415</v>
      </c>
      <c r="AI92" s="88"/>
      <c r="AJ92" s="88"/>
      <c r="AK92" s="88"/>
      <c r="AL92" s="252"/>
      <c r="AO92" s="252"/>
      <c r="AP92" s="252"/>
      <c r="AQ92" s="252"/>
      <c r="AR92" s="252"/>
      <c r="AS92" s="252"/>
    </row>
    <row r="93" spans="18:45" x14ac:dyDescent="0.3">
      <c r="AD93" s="960">
        <f t="shared" si="33"/>
        <v>2034</v>
      </c>
      <c r="AE93" s="691">
        <f t="shared" si="34"/>
        <v>8487662741.7588015</v>
      </c>
      <c r="AF93" s="963">
        <f t="shared" si="35"/>
        <v>2.5000000000000001E-2</v>
      </c>
      <c r="AG93" s="691">
        <f t="shared" si="32"/>
        <v>212191568.54397005</v>
      </c>
      <c r="AO93" s="252"/>
      <c r="AP93" s="252"/>
      <c r="AQ93" s="252"/>
      <c r="AR93" s="252"/>
      <c r="AS93" s="252"/>
    </row>
    <row r="94" spans="18:45" x14ac:dyDescent="0.3">
      <c r="AD94" s="960">
        <f t="shared" si="33"/>
        <v>2035</v>
      </c>
      <c r="AE94" s="691">
        <f t="shared" si="34"/>
        <v>8699854310.3027706</v>
      </c>
      <c r="AF94" s="963">
        <f t="shared" si="35"/>
        <v>2.5000000000000001E-2</v>
      </c>
      <c r="AG94" s="691">
        <f t="shared" si="32"/>
        <v>217496357.75756928</v>
      </c>
      <c r="AO94" s="252"/>
      <c r="AP94" s="252"/>
      <c r="AQ94" s="252"/>
      <c r="AR94" s="252"/>
      <c r="AS94" s="252"/>
    </row>
    <row r="95" spans="18:45" x14ac:dyDescent="0.3">
      <c r="AD95" s="960">
        <f t="shared" si="33"/>
        <v>2036</v>
      </c>
      <c r="AE95" s="691">
        <f t="shared" si="34"/>
        <v>8917350668.060339</v>
      </c>
      <c r="AF95" s="963">
        <f t="shared" si="35"/>
        <v>2.5000000000000001E-2</v>
      </c>
      <c r="AG95" s="691">
        <f t="shared" si="32"/>
        <v>222933766.70150849</v>
      </c>
      <c r="AO95" s="252"/>
      <c r="AP95" s="252"/>
      <c r="AQ95" s="252"/>
      <c r="AR95" s="252"/>
      <c r="AS95" s="252"/>
    </row>
    <row r="96" spans="18:45" x14ac:dyDescent="0.3">
      <c r="AD96" s="960">
        <f t="shared" si="33"/>
        <v>2037</v>
      </c>
      <c r="AE96" s="691">
        <f t="shared" si="34"/>
        <v>9140284434.7618465</v>
      </c>
      <c r="AF96" s="963">
        <f t="shared" si="35"/>
        <v>2.5000000000000001E-2</v>
      </c>
      <c r="AG96" s="691">
        <f t="shared" si="32"/>
        <v>228507110.86904618</v>
      </c>
      <c r="AO96" s="252"/>
      <c r="AP96" s="252"/>
      <c r="AQ96" s="252"/>
      <c r="AR96" s="252"/>
      <c r="AS96" s="252"/>
    </row>
    <row r="97" spans="30:45" x14ac:dyDescent="0.3">
      <c r="AD97" s="960">
        <f t="shared" si="33"/>
        <v>2038</v>
      </c>
      <c r="AE97" s="691">
        <f t="shared" si="34"/>
        <v>9368791545.6308918</v>
      </c>
      <c r="AF97" s="963">
        <f t="shared" si="35"/>
        <v>2.5000000000000001E-2</v>
      </c>
      <c r="AG97" s="691">
        <f t="shared" si="32"/>
        <v>234219788.64077231</v>
      </c>
      <c r="AO97" s="252"/>
      <c r="AP97" s="252"/>
      <c r="AQ97" s="252"/>
      <c r="AR97" s="252"/>
      <c r="AS97" s="252"/>
    </row>
    <row r="98" spans="30:45" x14ac:dyDescent="0.3">
      <c r="AD98" s="960">
        <f t="shared" si="33"/>
        <v>2039</v>
      </c>
      <c r="AE98" s="691">
        <f t="shared" si="34"/>
        <v>9603011334.2716637</v>
      </c>
      <c r="AF98" s="963">
        <f t="shared" si="35"/>
        <v>2.5000000000000001E-2</v>
      </c>
      <c r="AG98" s="691">
        <f t="shared" si="32"/>
        <v>240075283.35679162</v>
      </c>
    </row>
    <row r="99" spans="30:45" x14ac:dyDescent="0.3">
      <c r="AD99" s="960">
        <f t="shared" si="33"/>
        <v>2040</v>
      </c>
      <c r="AE99" s="691">
        <f t="shared" si="34"/>
        <v>9843086617.6284561</v>
      </c>
      <c r="AF99" s="963">
        <f t="shared" si="35"/>
        <v>2.5000000000000001E-2</v>
      </c>
      <c r="AG99" s="691">
        <f t="shared" si="32"/>
        <v>246077165.44071141</v>
      </c>
    </row>
    <row r="100" spans="30:45" x14ac:dyDescent="0.3">
      <c r="AD100" s="960">
        <f t="shared" si="33"/>
        <v>2041</v>
      </c>
      <c r="AE100" s="691">
        <f t="shared" si="34"/>
        <v>10089163783.069168</v>
      </c>
      <c r="AF100" s="963">
        <f t="shared" si="35"/>
        <v>2.5000000000000001E-2</v>
      </c>
      <c r="AG100" s="691">
        <f t="shared" si="32"/>
        <v>252229094.57672921</v>
      </c>
    </row>
    <row r="101" spans="30:45" x14ac:dyDescent="0.3">
      <c r="AD101" s="960">
        <f t="shared" si="33"/>
        <v>2042</v>
      </c>
      <c r="AE101" s="691">
        <f t="shared" si="34"/>
        <v>10341392877.645897</v>
      </c>
      <c r="AF101" s="963">
        <f t="shared" si="35"/>
        <v>2.5000000000000001E-2</v>
      </c>
      <c r="AG101" s="691">
        <f t="shared" si="32"/>
        <v>258534821.94114745</v>
      </c>
    </row>
    <row r="102" spans="30:45" x14ac:dyDescent="0.3">
      <c r="AD102" s="960">
        <f t="shared" si="33"/>
        <v>2043</v>
      </c>
      <c r="AE102" s="691">
        <f t="shared" si="34"/>
        <v>10599927699.587044</v>
      </c>
      <c r="AF102" s="963">
        <f t="shared" si="35"/>
        <v>2.5000000000000001E-2</v>
      </c>
      <c r="AG102" s="691">
        <f t="shared" si="32"/>
        <v>264998192.48967612</v>
      </c>
    </row>
    <row r="103" spans="30:45" x14ac:dyDescent="0.3">
      <c r="AD103" s="960">
        <f t="shared" si="33"/>
        <v>2044</v>
      </c>
      <c r="AE103" s="691">
        <f t="shared" si="34"/>
        <v>10864925892.076719</v>
      </c>
      <c r="AF103" s="963">
        <f t="shared" si="35"/>
        <v>2.5000000000000001E-2</v>
      </c>
      <c r="AG103" s="691">
        <f t="shared" si="32"/>
        <v>271623147.30191797</v>
      </c>
    </row>
    <row r="104" spans="30:45" x14ac:dyDescent="0.3">
      <c r="AD104" s="960">
        <f t="shared" si="33"/>
        <v>2045</v>
      </c>
      <c r="AE104" s="691">
        <f t="shared" si="34"/>
        <v>11136549039.378637</v>
      </c>
      <c r="AF104" s="963">
        <f t="shared" si="35"/>
        <v>2.5000000000000001E-2</v>
      </c>
      <c r="AG104" s="691">
        <f t="shared" si="32"/>
        <v>278413725.98446596</v>
      </c>
    </row>
    <row r="105" spans="30:45" x14ac:dyDescent="0.3">
      <c r="AD105" s="960">
        <f t="shared" si="33"/>
        <v>2046</v>
      </c>
      <c r="AE105" s="691">
        <f t="shared" si="34"/>
        <v>11414962765.363104</v>
      </c>
      <c r="AF105" s="963">
        <f t="shared" si="35"/>
        <v>2.5000000000000001E-2</v>
      </c>
      <c r="AG105" s="691">
        <f t="shared" si="32"/>
        <v>285374069.13407761</v>
      </c>
    </row>
    <row r="106" spans="30:45" x14ac:dyDescent="0.3">
      <c r="AD106" s="960">
        <f t="shared" si="33"/>
        <v>2047</v>
      </c>
      <c r="AE106" s="691">
        <f t="shared" si="34"/>
        <v>11700336834.497181</v>
      </c>
      <c r="AF106" s="963">
        <f t="shared" si="35"/>
        <v>2.5000000000000001E-2</v>
      </c>
      <c r="AG106" s="691">
        <f t="shared" si="32"/>
        <v>292508420.86242956</v>
      </c>
    </row>
    <row r="107" spans="30:45" x14ac:dyDescent="0.3">
      <c r="AD107" s="960">
        <f t="shared" si="33"/>
        <v>2048</v>
      </c>
      <c r="AE107" s="691">
        <f t="shared" si="34"/>
        <v>11992845255.35961</v>
      </c>
      <c r="AF107" s="963">
        <f t="shared" si="35"/>
        <v>2.5000000000000001E-2</v>
      </c>
      <c r="AG107" s="691">
        <f t="shared" si="32"/>
        <v>299821131.38399023</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8E74D-331F-43CC-8B63-2BF8B64AADB9}">
  <dimension ref="A2:BY106"/>
  <sheetViews>
    <sheetView showGridLines="0" topLeftCell="AI7" workbookViewId="0">
      <selection activeCell="AJ23" sqref="AJ23"/>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90" customWidth="1"/>
    <col min="75" max="75" width="8.88671875" style="12"/>
    <col min="76" max="76" width="8.88671875" style="1"/>
    <col min="77" max="77" width="17.44140625" style="1" bestFit="1" customWidth="1"/>
    <col min="78" max="16384" width="8.88671875" style="1"/>
  </cols>
  <sheetData>
    <row r="2" spans="1:75"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G2" s="916"/>
      <c r="BK2" s="916"/>
      <c r="BV2" s="917"/>
      <c r="BW2" s="916"/>
    </row>
    <row r="3" spans="1:75" ht="25.95" customHeight="1" x14ac:dyDescent="0.5">
      <c r="C3" s="570" t="s">
        <v>1446</v>
      </c>
      <c r="F3" s="1081"/>
      <c r="G3" s="648"/>
      <c r="AN3" s="999" t="s">
        <v>1355</v>
      </c>
    </row>
    <row r="4" spans="1:75"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row>
    <row r="5" spans="1:75" ht="18.600000000000001" x14ac:dyDescent="0.45">
      <c r="C5" s="37" t="s">
        <v>972</v>
      </c>
      <c r="D5" s="619"/>
      <c r="E5" s="408">
        <f>E11</f>
        <v>3771070228.9848399</v>
      </c>
      <c r="F5" s="1082">
        <v>1</v>
      </c>
      <c r="G5" s="408">
        <f>E5*F5</f>
        <v>3771070228.9848399</v>
      </c>
      <c r="H5" s="409">
        <v>0.92</v>
      </c>
      <c r="I5" s="408">
        <f>G5*H5</f>
        <v>3469384610.6660528</v>
      </c>
      <c r="J5" s="409">
        <v>1</v>
      </c>
      <c r="K5" s="408">
        <f>I5*J5</f>
        <v>3469384610.6660528</v>
      </c>
      <c r="L5" s="409">
        <f>H5</f>
        <v>0.92</v>
      </c>
      <c r="M5" s="408">
        <f>K5*L5</f>
        <v>3191833841.8127689</v>
      </c>
      <c r="N5" s="409">
        <f>J5</f>
        <v>1</v>
      </c>
      <c r="O5" s="408">
        <f>M5*N5</f>
        <v>3191833841.8127689</v>
      </c>
      <c r="P5" s="409">
        <f>L5</f>
        <v>0.92</v>
      </c>
      <c r="Q5" s="408">
        <f>O5*P5</f>
        <v>2936487134.4677477</v>
      </c>
      <c r="R5" s="409">
        <f>N5</f>
        <v>1</v>
      </c>
      <c r="S5" s="408">
        <f>Q5*R5</f>
        <v>2936487134.4677477</v>
      </c>
      <c r="T5" s="409">
        <f>P5</f>
        <v>0.92</v>
      </c>
      <c r="U5" s="408">
        <f>S5*T5</f>
        <v>2701568163.7103281</v>
      </c>
      <c r="V5" s="409">
        <f>R5</f>
        <v>1</v>
      </c>
      <c r="W5" s="408">
        <f>U5*V5</f>
        <v>2701568163.7103281</v>
      </c>
      <c r="X5" s="409">
        <f>T5</f>
        <v>0.92</v>
      </c>
      <c r="Y5" s="408">
        <f>W5*X5</f>
        <v>2485442710.613502</v>
      </c>
      <c r="Z5" s="409">
        <f>V5</f>
        <v>1</v>
      </c>
      <c r="AA5" s="408">
        <f>Y5*Z5</f>
        <v>2485442710.613502</v>
      </c>
      <c r="AB5" s="409">
        <f>X5</f>
        <v>0.92</v>
      </c>
      <c r="AC5" s="408">
        <f>AA5*AB5</f>
        <v>2286607293.7644219</v>
      </c>
      <c r="AD5" s="409">
        <f>Z5</f>
        <v>1</v>
      </c>
      <c r="AE5" s="408">
        <f>AC5*AD5</f>
        <v>2286607293.7644219</v>
      </c>
      <c r="AF5" s="409">
        <f>AB5</f>
        <v>0.92</v>
      </c>
      <c r="AG5" s="408">
        <f>AE5*AF5</f>
        <v>2103678710.2632682</v>
      </c>
      <c r="AH5" s="409">
        <f>AD5</f>
        <v>1</v>
      </c>
      <c r="AI5" s="408">
        <f>AG5*AH5</f>
        <v>2103678710.2632682</v>
      </c>
      <c r="AJ5" s="409">
        <f>AF5</f>
        <v>0.92</v>
      </c>
      <c r="AK5" s="408">
        <f>AI5*AJ5</f>
        <v>1935384413.4422069</v>
      </c>
      <c r="AL5" s="409">
        <f>AH5</f>
        <v>1</v>
      </c>
      <c r="AM5" s="408">
        <f>AK5*AL5</f>
        <v>1935384413.4422069</v>
      </c>
      <c r="AN5" s="719">
        <f>G5+I5+M5+Q5+U5+Y5+AC5+AG5+AK5</f>
        <v>24881457107.725136</v>
      </c>
      <c r="AP5" s="621">
        <f>AJ5</f>
        <v>0.92</v>
      </c>
      <c r="AQ5" s="622">
        <f>AM5*AP5</f>
        <v>1780553660.3668303</v>
      </c>
      <c r="AR5" s="626"/>
      <c r="AS5" s="626"/>
      <c r="AT5" s="627"/>
    </row>
    <row r="6" spans="1:75" x14ac:dyDescent="0.3">
      <c r="F6" s="1081"/>
      <c r="AN6" s="93"/>
      <c r="AT6" s="628"/>
    </row>
    <row r="7" spans="1:75"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462" t="s">
        <v>749</v>
      </c>
      <c r="AG7" s="170" t="s">
        <v>1379</v>
      </c>
      <c r="AH7" s="175" t="s">
        <v>297</v>
      </c>
      <c r="AI7" s="170" t="s">
        <v>59</v>
      </c>
      <c r="AJ7" s="301" t="s">
        <v>749</v>
      </c>
      <c r="AK7" s="121" t="s">
        <v>1380</v>
      </c>
      <c r="AL7" s="173" t="s">
        <v>297</v>
      </c>
      <c r="AM7" s="121" t="s">
        <v>59</v>
      </c>
      <c r="AN7" s="121" t="s">
        <v>1381</v>
      </c>
      <c r="AP7" s="588" t="s">
        <v>1367</v>
      </c>
      <c r="AQ7" s="121" t="s">
        <v>1372</v>
      </c>
      <c r="AT7" s="628"/>
    </row>
    <row r="8" spans="1:75" x14ac:dyDescent="0.3">
      <c r="B8" s="584"/>
      <c r="C8" s="7"/>
      <c r="E8" s="875">
        <f>AN47</f>
        <v>7542140457.9696798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586" t="s">
        <v>1371</v>
      </c>
      <c r="AG8" s="470"/>
      <c r="AH8" s="471"/>
      <c r="AI8" s="470"/>
      <c r="AJ8" s="587" t="s">
        <v>1371</v>
      </c>
      <c r="AK8" s="303"/>
      <c r="AL8" s="179"/>
      <c r="AM8" s="303"/>
      <c r="AN8" s="126"/>
      <c r="AP8" s="589" t="s">
        <v>1371</v>
      </c>
      <c r="AQ8" s="303"/>
      <c r="AT8" s="628"/>
    </row>
    <row r="9" spans="1:75" ht="16.2" thickBot="1" x14ac:dyDescent="0.35">
      <c r="B9" s="585" t="s">
        <v>943</v>
      </c>
      <c r="C9" s="1078">
        <v>8</v>
      </c>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122"/>
      <c r="AK9" s="459" t="s">
        <v>282</v>
      </c>
      <c r="AL9" s="122"/>
      <c r="AM9" s="8"/>
      <c r="AN9" s="126"/>
      <c r="AP9" s="122"/>
      <c r="AQ9" s="459" t="s">
        <v>282</v>
      </c>
      <c r="AT9" s="628"/>
    </row>
    <row r="10" spans="1:75" ht="16.2" thickBot="1" x14ac:dyDescent="0.35">
      <c r="B10" s="585" t="s">
        <v>944</v>
      </c>
      <c r="C10" s="1211">
        <v>0.05</v>
      </c>
      <c r="D10" s="630" t="s">
        <v>953</v>
      </c>
      <c r="E10" s="994">
        <f>AO53</f>
        <v>512</v>
      </c>
      <c r="F10" s="1085">
        <v>0.25</v>
      </c>
      <c r="G10" s="130">
        <f>E14*F10</f>
        <v>104791817.44571152</v>
      </c>
      <c r="H10" s="460">
        <v>0.5</v>
      </c>
      <c r="I10" s="130">
        <f>G10*H10</f>
        <v>52395908.722855762</v>
      </c>
      <c r="J10" s="460">
        <v>1</v>
      </c>
      <c r="K10" s="458">
        <f>I10*J10</f>
        <v>52395908.722855762</v>
      </c>
      <c r="L10" s="129">
        <f>H10</f>
        <v>0.5</v>
      </c>
      <c r="M10" s="458">
        <f>K10*L10</f>
        <v>26197954.361427881</v>
      </c>
      <c r="N10" s="129">
        <f>J10</f>
        <v>1</v>
      </c>
      <c r="O10" s="458">
        <f>M10*N10</f>
        <v>26197954.361427881</v>
      </c>
      <c r="P10" s="129">
        <f>L10</f>
        <v>0.5</v>
      </c>
      <c r="Q10" s="458">
        <f>O10*P10</f>
        <v>13098977.18071394</v>
      </c>
      <c r="R10" s="129">
        <f>N10</f>
        <v>1</v>
      </c>
      <c r="S10" s="458">
        <f>Q10*R10</f>
        <v>13098977.18071394</v>
      </c>
      <c r="T10" s="129">
        <f>P10</f>
        <v>0.5</v>
      </c>
      <c r="U10" s="458">
        <f>S10*T10</f>
        <v>6549488.5903569702</v>
      </c>
      <c r="V10" s="129">
        <f>R10</f>
        <v>1</v>
      </c>
      <c r="W10" s="458">
        <f>U10*V10</f>
        <v>6549488.5903569702</v>
      </c>
      <c r="X10" s="129">
        <f>T10</f>
        <v>0.5</v>
      </c>
      <c r="Y10" s="458">
        <f>W10*X10</f>
        <v>3274744.2951784851</v>
      </c>
      <c r="Z10" s="129">
        <f>V10</f>
        <v>1</v>
      </c>
      <c r="AA10" s="458">
        <f>Y10*Z10</f>
        <v>3274744.2951784851</v>
      </c>
      <c r="AB10" s="129">
        <f>X10</f>
        <v>0.5</v>
      </c>
      <c r="AC10" s="458">
        <f>AA10*AB10</f>
        <v>1637372.1475892426</v>
      </c>
      <c r="AD10" s="129">
        <f>Z10</f>
        <v>1</v>
      </c>
      <c r="AE10" s="458">
        <f>AC10*AD10</f>
        <v>1637372.1475892426</v>
      </c>
      <c r="AF10" s="129">
        <f>AB10</f>
        <v>0.5</v>
      </c>
      <c r="AG10" s="458">
        <f>AE10*AF10</f>
        <v>818686.07379462128</v>
      </c>
      <c r="AH10" s="129">
        <f>AD10</f>
        <v>1</v>
      </c>
      <c r="AI10" s="458">
        <f>AG10*AH10</f>
        <v>818686.07379462128</v>
      </c>
      <c r="AJ10" s="129">
        <f>AF10</f>
        <v>0.5</v>
      </c>
      <c r="AK10" s="458">
        <f>AI10*AJ10</f>
        <v>409343.03689731064</v>
      </c>
      <c r="AL10" s="129">
        <f>AH10</f>
        <v>1</v>
      </c>
      <c r="AM10" s="458">
        <f>AK10*AL10</f>
        <v>409343.03689731064</v>
      </c>
      <c r="AN10" s="161">
        <f>G10+I10+M10+Q10+U10+Y10+AC10+AG10+AK10</f>
        <v>209174291.85452574</v>
      </c>
      <c r="AP10" s="590">
        <f>AJ10</f>
        <v>0.5</v>
      </c>
      <c r="AQ10" s="458">
        <f>AM10*AP10</f>
        <v>204671.51844865532</v>
      </c>
      <c r="AR10" s="623"/>
      <c r="AS10" s="624"/>
      <c r="AT10" s="628"/>
    </row>
    <row r="11" spans="1:75" ht="16.2" thickBot="1" x14ac:dyDescent="0.35">
      <c r="B11" s="585" t="s">
        <v>945</v>
      </c>
      <c r="C11" s="1078">
        <v>2025</v>
      </c>
      <c r="D11" s="630" t="s">
        <v>1291</v>
      </c>
      <c r="E11" s="631">
        <f>E8/2</f>
        <v>3771070228.9848399</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122"/>
      <c r="AK11" s="457" t="s">
        <v>283</v>
      </c>
      <c r="AL11" s="122"/>
      <c r="AM11" s="8"/>
      <c r="AN11" s="126"/>
      <c r="AP11" s="122"/>
      <c r="AQ11" s="457" t="s">
        <v>283</v>
      </c>
      <c r="AR11" s="623"/>
      <c r="AS11" s="623"/>
      <c r="AT11" s="628"/>
    </row>
    <row r="12" spans="1:75" ht="16.2" thickBot="1" x14ac:dyDescent="0.35">
      <c r="B12" s="584"/>
      <c r="E12" s="997">
        <f>E9*E10</f>
        <v>0</v>
      </c>
      <c r="F12" s="1086">
        <v>0.25</v>
      </c>
      <c r="G12" s="135">
        <f>E14*F12</f>
        <v>104791817.44571152</v>
      </c>
      <c r="H12" s="461">
        <v>0.92</v>
      </c>
      <c r="I12" s="135">
        <f>G12*H12</f>
        <v>96408472.05005461</v>
      </c>
      <c r="J12" s="461">
        <v>1</v>
      </c>
      <c r="K12" s="440">
        <f>I12*J12</f>
        <v>96408472.05005461</v>
      </c>
      <c r="L12" s="133">
        <f>H12</f>
        <v>0.92</v>
      </c>
      <c r="M12" s="440">
        <f>K12*L12</f>
        <v>88695794.286050245</v>
      </c>
      <c r="N12" s="133">
        <f>J12</f>
        <v>1</v>
      </c>
      <c r="O12" s="440">
        <f>M12*N12</f>
        <v>88695794.286050245</v>
      </c>
      <c r="P12" s="133">
        <f>L12</f>
        <v>0.92</v>
      </c>
      <c r="Q12" s="440">
        <f>O12*P12</f>
        <v>81600130.743166223</v>
      </c>
      <c r="R12" s="133">
        <f>N12</f>
        <v>1</v>
      </c>
      <c r="S12" s="440">
        <f>Q12*R12</f>
        <v>81600130.743166223</v>
      </c>
      <c r="T12" s="133">
        <f>P12</f>
        <v>0.92</v>
      </c>
      <c r="U12" s="440">
        <f>S12*T12</f>
        <v>75072120.283712924</v>
      </c>
      <c r="V12" s="133">
        <f>R12</f>
        <v>1</v>
      </c>
      <c r="W12" s="440">
        <f>U12*V12</f>
        <v>75072120.283712924</v>
      </c>
      <c r="X12" s="133">
        <f>T12</f>
        <v>0.92</v>
      </c>
      <c r="Y12" s="440">
        <f>W12*X12</f>
        <v>69066350.661015898</v>
      </c>
      <c r="Z12" s="133">
        <f>V12</f>
        <v>1</v>
      </c>
      <c r="AA12" s="440">
        <f>Y12*Z12</f>
        <v>69066350.661015898</v>
      </c>
      <c r="AB12" s="133">
        <f>X12</f>
        <v>0.92</v>
      </c>
      <c r="AC12" s="440">
        <f>AA12*AB12</f>
        <v>63541042.608134627</v>
      </c>
      <c r="AD12" s="133">
        <f>Z12</f>
        <v>1</v>
      </c>
      <c r="AE12" s="440">
        <f>AC12*AD12</f>
        <v>63541042.608134627</v>
      </c>
      <c r="AF12" s="133">
        <f>AB12</f>
        <v>0.92</v>
      </c>
      <c r="AG12" s="440">
        <f>AE12*AF12</f>
        <v>58457759.199483857</v>
      </c>
      <c r="AH12" s="133">
        <f>AD12</f>
        <v>1</v>
      </c>
      <c r="AI12" s="440">
        <f>AG12*AH12</f>
        <v>58457759.199483857</v>
      </c>
      <c r="AJ12" s="133">
        <f>AF12</f>
        <v>0.92</v>
      </c>
      <c r="AK12" s="440">
        <f>AI12*AJ12</f>
        <v>53781138.463525154</v>
      </c>
      <c r="AL12" s="133">
        <f>AH12</f>
        <v>1</v>
      </c>
      <c r="AM12" s="440">
        <f>AK12*AL12</f>
        <v>53781138.463525154</v>
      </c>
      <c r="AN12" s="161">
        <f>G12+I12+M12+Q12+U12+Y12+AC12+AG12+AK12</f>
        <v>691414625.7408551</v>
      </c>
      <c r="AP12" s="591">
        <f>AJ12</f>
        <v>0.92</v>
      </c>
      <c r="AQ12" s="440">
        <f>AM12*AP12</f>
        <v>49478647.386443146</v>
      </c>
      <c r="AR12" s="623"/>
      <c r="AS12" s="624"/>
      <c r="AT12" s="628"/>
    </row>
    <row r="13" spans="1:75"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122"/>
      <c r="AK13" s="451" t="s">
        <v>284</v>
      </c>
      <c r="AL13" s="122"/>
      <c r="AM13" s="8"/>
      <c r="AN13" s="126"/>
      <c r="AP13" s="122"/>
      <c r="AQ13" s="451" t="s">
        <v>284</v>
      </c>
      <c r="AR13" s="623"/>
      <c r="AS13" s="623"/>
      <c r="AT13" s="628"/>
    </row>
    <row r="14" spans="1:75" ht="16.2" thickBot="1" x14ac:dyDescent="0.35">
      <c r="A14" s="162"/>
      <c r="B14" s="162"/>
      <c r="C14" s="137" t="s">
        <v>291</v>
      </c>
      <c r="D14" s="1212">
        <v>0.111153397929607</v>
      </c>
      <c r="E14" s="139">
        <f>E11*D14</f>
        <v>419167269.78284609</v>
      </c>
      <c r="F14" s="1088">
        <v>0.5</v>
      </c>
      <c r="G14" s="139">
        <f>E14*F14</f>
        <v>209583634.89142305</v>
      </c>
      <c r="H14" s="463">
        <v>0.92</v>
      </c>
      <c r="I14" s="139">
        <f>G14*H14</f>
        <v>192816944.10010922</v>
      </c>
      <c r="J14" s="463">
        <v>1</v>
      </c>
      <c r="K14" s="441">
        <f>I14*J14</f>
        <v>192816944.10010922</v>
      </c>
      <c r="L14" s="140">
        <f>H14</f>
        <v>0.92</v>
      </c>
      <c r="M14" s="441">
        <f>K14*L14</f>
        <v>177391588.57210049</v>
      </c>
      <c r="N14" s="140">
        <f>J14</f>
        <v>1</v>
      </c>
      <c r="O14" s="441">
        <f>M14*N14</f>
        <v>177391588.57210049</v>
      </c>
      <c r="P14" s="140">
        <f>L14</f>
        <v>0.92</v>
      </c>
      <c r="Q14" s="441">
        <f>O14*P14</f>
        <v>163200261.48633245</v>
      </c>
      <c r="R14" s="140">
        <f>N14</f>
        <v>1</v>
      </c>
      <c r="S14" s="441">
        <f>Q14*R14</f>
        <v>163200261.48633245</v>
      </c>
      <c r="T14" s="140">
        <f>P14</f>
        <v>0.92</v>
      </c>
      <c r="U14" s="441">
        <f>S14*T14</f>
        <v>150144240.56742585</v>
      </c>
      <c r="V14" s="140">
        <f>R14</f>
        <v>1</v>
      </c>
      <c r="W14" s="441">
        <f>U14*V14</f>
        <v>150144240.56742585</v>
      </c>
      <c r="X14" s="140">
        <f>T14</f>
        <v>0.92</v>
      </c>
      <c r="Y14" s="441">
        <f>W14*X14</f>
        <v>138132701.3220318</v>
      </c>
      <c r="Z14" s="140">
        <f>V14</f>
        <v>1</v>
      </c>
      <c r="AA14" s="441">
        <f>Y14*Z14</f>
        <v>138132701.3220318</v>
      </c>
      <c r="AB14" s="140">
        <f>X14</f>
        <v>0.92</v>
      </c>
      <c r="AC14" s="441">
        <f>AA14*AB14</f>
        <v>127082085.21626925</v>
      </c>
      <c r="AD14" s="140">
        <f>Z14</f>
        <v>1</v>
      </c>
      <c r="AE14" s="441">
        <f>AC14*AD14</f>
        <v>127082085.21626925</v>
      </c>
      <c r="AF14" s="140">
        <f>AB14</f>
        <v>0.92</v>
      </c>
      <c r="AG14" s="441">
        <f>AE14*AF14</f>
        <v>116915518.39896771</v>
      </c>
      <c r="AH14" s="140">
        <f>AD14</f>
        <v>1</v>
      </c>
      <c r="AI14" s="441">
        <f>AG14*AH14</f>
        <v>116915518.39896771</v>
      </c>
      <c r="AJ14" s="140">
        <f>AF14</f>
        <v>0.92</v>
      </c>
      <c r="AK14" s="441">
        <f>AI14*AJ14</f>
        <v>107562276.92705031</v>
      </c>
      <c r="AL14" s="140">
        <f>AH14</f>
        <v>1</v>
      </c>
      <c r="AM14" s="441">
        <f>AK14*AL14</f>
        <v>107562276.92705031</v>
      </c>
      <c r="AN14" s="161">
        <f>G14+I14+M14+Q14+U14+Y14+AC14+AG14+AK14</f>
        <v>1382829251.4817102</v>
      </c>
      <c r="AP14" s="592">
        <f>AJ14</f>
        <v>0.92</v>
      </c>
      <c r="AQ14" s="441">
        <f>AM14*AP14</f>
        <v>98957294.772886291</v>
      </c>
      <c r="AR14" s="623"/>
      <c r="AS14" s="624"/>
      <c r="AT14" s="628"/>
    </row>
    <row r="15" spans="1:75"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23"/>
      <c r="AS15" s="623"/>
      <c r="AT15" s="628"/>
    </row>
    <row r="16" spans="1:75"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455"/>
      <c r="AK16" s="454" t="s">
        <v>744</v>
      </c>
      <c r="AL16" s="141"/>
      <c r="AM16" s="164"/>
      <c r="AN16" s="126"/>
      <c r="AP16" s="455"/>
      <c r="AQ16" s="454" t="s">
        <v>744</v>
      </c>
      <c r="AR16" s="625"/>
      <c r="AS16" s="625"/>
      <c r="AT16" s="628"/>
      <c r="BG16" s="233"/>
      <c r="BK16" s="233"/>
      <c r="BV16" s="345"/>
      <c r="BW16" s="233"/>
    </row>
    <row r="17" spans="1:77" ht="16.2" thickBot="1" x14ac:dyDescent="0.35">
      <c r="A17" s="18"/>
      <c r="B17" s="18"/>
      <c r="C17" s="397" t="s">
        <v>276</v>
      </c>
      <c r="D17" s="1213">
        <f>100%-D14-D21</f>
        <v>0.5625</v>
      </c>
      <c r="E17" s="399">
        <f>E11*D17</f>
        <v>2121227003.8039725</v>
      </c>
      <c r="F17" s="1090">
        <v>1</v>
      </c>
      <c r="G17" s="399">
        <f>E17*F17</f>
        <v>2121227003.8039725</v>
      </c>
      <c r="H17" s="464">
        <v>0.92</v>
      </c>
      <c r="I17" s="399">
        <f>G17*H17</f>
        <v>1951528843.4996548</v>
      </c>
      <c r="J17" s="464">
        <v>1</v>
      </c>
      <c r="K17" s="453">
        <f>I17*J17</f>
        <v>1951528843.4996548</v>
      </c>
      <c r="L17" s="400">
        <f>H17</f>
        <v>0.92</v>
      </c>
      <c r="M17" s="453">
        <f>K17*L17</f>
        <v>1795406536.0196824</v>
      </c>
      <c r="N17" s="400">
        <f>J17</f>
        <v>1</v>
      </c>
      <c r="O17" s="453">
        <f>M17*N17</f>
        <v>1795406536.0196824</v>
      </c>
      <c r="P17" s="400">
        <f>L17</f>
        <v>0.92</v>
      </c>
      <c r="Q17" s="453">
        <f>O17*P17</f>
        <v>1651774013.1381078</v>
      </c>
      <c r="R17" s="400">
        <f>N17</f>
        <v>1</v>
      </c>
      <c r="S17" s="453">
        <f>Q17*R17</f>
        <v>1651774013.1381078</v>
      </c>
      <c r="T17" s="400">
        <f>P17</f>
        <v>0.92</v>
      </c>
      <c r="U17" s="453">
        <f>S17*T17</f>
        <v>1519632092.0870593</v>
      </c>
      <c r="V17" s="400">
        <f>R17</f>
        <v>1</v>
      </c>
      <c r="W17" s="453">
        <f>U17*V17</f>
        <v>1519632092.0870593</v>
      </c>
      <c r="X17" s="400">
        <f>T17</f>
        <v>0.92</v>
      </c>
      <c r="Y17" s="453">
        <f>W17*X17</f>
        <v>1398061524.7200947</v>
      </c>
      <c r="Z17" s="400">
        <f>V17</f>
        <v>1</v>
      </c>
      <c r="AA17" s="453">
        <f>Y17*Z17</f>
        <v>1398061524.7200947</v>
      </c>
      <c r="AB17" s="400">
        <f>X17</f>
        <v>0.92</v>
      </c>
      <c r="AC17" s="453">
        <f>AA17*AB17</f>
        <v>1286216602.7424872</v>
      </c>
      <c r="AD17" s="400">
        <f>Z17</f>
        <v>1</v>
      </c>
      <c r="AE17" s="453">
        <f>AC17*AD17</f>
        <v>1286216602.7424872</v>
      </c>
      <c r="AF17" s="400">
        <f>AB17</f>
        <v>0.92</v>
      </c>
      <c r="AG17" s="453">
        <f>AE17*AF17</f>
        <v>1183319274.5230882</v>
      </c>
      <c r="AH17" s="400">
        <f>AD17</f>
        <v>1</v>
      </c>
      <c r="AI17" s="453">
        <f>AG17*AH17</f>
        <v>1183319274.5230882</v>
      </c>
      <c r="AJ17" s="400">
        <f>AF17</f>
        <v>0.92</v>
      </c>
      <c r="AK17" s="453">
        <f>AI17*AJ17</f>
        <v>1088653732.5612411</v>
      </c>
      <c r="AL17" s="400">
        <f>AH17</f>
        <v>1</v>
      </c>
      <c r="AM17" s="453">
        <f>AK17*AL17</f>
        <v>1088653732.5612411</v>
      </c>
      <c r="AN17" s="161">
        <f>G17+I17+M17+Q17+U17+Y17+AC17+AG17+AK17</f>
        <v>13995819623.095387</v>
      </c>
      <c r="AP17" s="593">
        <f>AJ17</f>
        <v>0.92</v>
      </c>
      <c r="AQ17" s="453">
        <f>AM17*AP17</f>
        <v>1001561433.9563419</v>
      </c>
      <c r="AR17" s="623"/>
      <c r="AS17" s="624"/>
      <c r="AT17" s="628"/>
      <c r="BJ17" s="974" t="s">
        <v>872</v>
      </c>
      <c r="BL17" s="974" t="s">
        <v>872</v>
      </c>
      <c r="BO17" s="974" t="s">
        <v>872</v>
      </c>
    </row>
    <row r="18" spans="1:77"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23"/>
      <c r="AS18" s="623"/>
      <c r="AT18" s="628"/>
      <c r="BJ18" s="974" t="s">
        <v>5</v>
      </c>
      <c r="BL18" s="974" t="s">
        <v>7</v>
      </c>
      <c r="BO18" s="77" t="s">
        <v>968</v>
      </c>
    </row>
    <row r="19" spans="1:77"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23"/>
      <c r="AS19" s="623"/>
      <c r="AT19" s="628"/>
      <c r="AW19" s="473"/>
      <c r="AX19" s="473"/>
      <c r="AY19" s="473"/>
      <c r="AZ19" s="473"/>
      <c r="BA19" s="473"/>
      <c r="BB19" s="473"/>
      <c r="BC19" s="473"/>
      <c r="BD19" s="473"/>
      <c r="BE19" s="473"/>
      <c r="BF19" s="473"/>
      <c r="BG19" s="970"/>
      <c r="BH19" s="485"/>
      <c r="BI19" s="485"/>
      <c r="BJ19" s="485" t="s">
        <v>961</v>
      </c>
      <c r="BK19" s="485" t="s">
        <v>967</v>
      </c>
      <c r="BL19" s="485" t="s">
        <v>59</v>
      </c>
      <c r="BM19" s="485" t="s">
        <v>1343</v>
      </c>
      <c r="BN19" s="485" t="s">
        <v>1344</v>
      </c>
      <c r="BO19" s="485"/>
      <c r="BP19" s="473"/>
      <c r="BQ19" s="485" t="s">
        <v>966</v>
      </c>
      <c r="BR19" s="485" t="s">
        <v>974</v>
      </c>
      <c r="BS19" s="485" t="s">
        <v>965</v>
      </c>
      <c r="BT19" s="485" t="s">
        <v>965</v>
      </c>
      <c r="BU19" s="485" t="s">
        <v>1345</v>
      </c>
      <c r="BV19" s="305" t="s">
        <v>1286</v>
      </c>
      <c r="BW19" s="304"/>
    </row>
    <row r="20" spans="1:77"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122"/>
      <c r="AK20" s="450" t="s">
        <v>285</v>
      </c>
      <c r="AL20" s="122"/>
      <c r="AM20" s="8"/>
      <c r="AN20" s="126"/>
      <c r="AP20" s="122"/>
      <c r="AQ20" s="450" t="s">
        <v>285</v>
      </c>
      <c r="AR20" s="623"/>
      <c r="AS20" s="623"/>
      <c r="AT20" s="628"/>
      <c r="AW20" s="473"/>
      <c r="AX20" s="473"/>
      <c r="AY20" s="473"/>
      <c r="AZ20" s="473"/>
      <c r="BA20" s="473"/>
      <c r="BB20" s="473"/>
      <c r="BC20" s="473"/>
      <c r="BD20" s="473"/>
      <c r="BE20" s="473"/>
      <c r="BF20" s="473"/>
      <c r="BG20" s="970"/>
      <c r="BH20" s="485"/>
      <c r="BI20" s="485"/>
      <c r="BJ20" s="971">
        <f>'POP Dimensions'!C15</f>
        <v>10737418.24</v>
      </c>
      <c r="BK20" s="954">
        <v>64</v>
      </c>
      <c r="BL20" s="972">
        <f>BK20*BJ20</f>
        <v>687194767.36000001</v>
      </c>
      <c r="BM20" s="954">
        <v>16</v>
      </c>
      <c r="BN20" s="954"/>
      <c r="BO20" s="971">
        <f>BL20*BM20</f>
        <v>10995116277.76</v>
      </c>
      <c r="BP20" s="473"/>
      <c r="BQ20" s="485" t="s">
        <v>785</v>
      </c>
      <c r="BR20" s="485"/>
      <c r="BS20" s="485" t="s">
        <v>962</v>
      </c>
      <c r="BT20" s="485" t="s">
        <v>1341</v>
      </c>
      <c r="BU20" s="485" t="s">
        <v>1342</v>
      </c>
      <c r="BV20" s="305"/>
      <c r="BW20" s="304"/>
    </row>
    <row r="21" spans="1:77" ht="16.2" thickBot="1" x14ac:dyDescent="0.35">
      <c r="C21" s="149" t="s">
        <v>737</v>
      </c>
      <c r="D21" s="1214">
        <v>0.32634660207039301</v>
      </c>
      <c r="E21" s="151">
        <f>E11*D21</f>
        <v>1230675955.3980215</v>
      </c>
      <c r="F21" s="1092">
        <v>0.3</v>
      </c>
      <c r="G21" s="151">
        <f>E21*F21</f>
        <v>369202786.6194064</v>
      </c>
      <c r="H21" s="465">
        <v>0.92</v>
      </c>
      <c r="I21" s="151">
        <f>G21*H21</f>
        <v>339666563.68985391</v>
      </c>
      <c r="J21" s="465">
        <v>1</v>
      </c>
      <c r="K21" s="444">
        <f>I21*J21</f>
        <v>339666563.68985391</v>
      </c>
      <c r="L21" s="152">
        <f>H21</f>
        <v>0.92</v>
      </c>
      <c r="M21" s="444">
        <f>K21*L21</f>
        <v>312493238.59466559</v>
      </c>
      <c r="N21" s="152">
        <f>J21</f>
        <v>1</v>
      </c>
      <c r="O21" s="444">
        <f>M21*N21</f>
        <v>312493238.59466559</v>
      </c>
      <c r="P21" s="152">
        <f>L21</f>
        <v>0.92</v>
      </c>
      <c r="Q21" s="444">
        <f>O21*P21</f>
        <v>287493779.50709236</v>
      </c>
      <c r="R21" s="152">
        <f>N21</f>
        <v>1</v>
      </c>
      <c r="S21" s="444">
        <f>Q21*R21</f>
        <v>287493779.50709236</v>
      </c>
      <c r="T21" s="152">
        <f>P21</f>
        <v>0.92</v>
      </c>
      <c r="U21" s="444">
        <f>S21*T21</f>
        <v>264494277.14652497</v>
      </c>
      <c r="V21" s="152">
        <f>R21</f>
        <v>1</v>
      </c>
      <c r="W21" s="444">
        <f>U21*V21</f>
        <v>264494277.14652497</v>
      </c>
      <c r="X21" s="152">
        <f>T21</f>
        <v>0.92</v>
      </c>
      <c r="Y21" s="444">
        <f>W21*X21</f>
        <v>243334734.97480297</v>
      </c>
      <c r="Z21" s="152">
        <f>V21</f>
        <v>1</v>
      </c>
      <c r="AA21" s="444">
        <f>Y21*Z21</f>
        <v>243334734.97480297</v>
      </c>
      <c r="AB21" s="152">
        <f>X21</f>
        <v>0.92</v>
      </c>
      <c r="AC21" s="444">
        <f>AA21*AB21</f>
        <v>223867956.17681873</v>
      </c>
      <c r="AD21" s="152">
        <f>Z21</f>
        <v>1</v>
      </c>
      <c r="AE21" s="444">
        <f>AC21*AD21</f>
        <v>223867956.17681873</v>
      </c>
      <c r="AF21" s="152">
        <f>AB21</f>
        <v>0.92</v>
      </c>
      <c r="AG21" s="444">
        <f>AE21*AF21</f>
        <v>205958519.68267325</v>
      </c>
      <c r="AH21" s="152">
        <f>AD21</f>
        <v>1</v>
      </c>
      <c r="AI21" s="444">
        <f>AG21*AH21</f>
        <v>205958519.68267325</v>
      </c>
      <c r="AJ21" s="152">
        <f>AF21</f>
        <v>0.92</v>
      </c>
      <c r="AK21" s="444">
        <f>AI21*AJ21</f>
        <v>189481838.10805941</v>
      </c>
      <c r="AL21" s="152">
        <f>AH21</f>
        <v>1</v>
      </c>
      <c r="AM21" s="444">
        <f>AK21*AL21</f>
        <v>189481838.10805941</v>
      </c>
      <c r="AN21" s="161">
        <f>G21+I21+M21+Q21+U21+Y21+AC21+AG21+AK21</f>
        <v>2435993694.499898</v>
      </c>
      <c r="AP21" s="594">
        <f>AJ21</f>
        <v>0.92</v>
      </c>
      <c r="AQ21" s="444">
        <f>AM21*AP21</f>
        <v>174323291.05941465</v>
      </c>
      <c r="AR21" s="623"/>
      <c r="AS21" s="624"/>
      <c r="AT21" s="628"/>
      <c r="AW21" s="473"/>
      <c r="BM21" s="976"/>
      <c r="BN21" s="976"/>
      <c r="BW21" s="913"/>
    </row>
    <row r="22" spans="1:77"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437"/>
      <c r="AK22" s="449" t="s">
        <v>738</v>
      </c>
      <c r="AL22" s="433"/>
      <c r="AM22" s="434"/>
      <c r="AN22" s="180"/>
      <c r="AP22" s="437"/>
      <c r="AQ22" s="449" t="s">
        <v>738</v>
      </c>
      <c r="AR22" s="623"/>
      <c r="AS22" s="623"/>
      <c r="AT22" s="628"/>
      <c r="AW22" s="473"/>
      <c r="BD22" s="1" t="s">
        <v>955</v>
      </c>
      <c r="BH22" s="581" t="s">
        <v>964</v>
      </c>
      <c r="BI22" s="75"/>
      <c r="BJ22" s="75"/>
      <c r="BK22" s="986"/>
      <c r="BL22" s="896"/>
      <c r="BM22" s="980"/>
      <c r="BN22" s="980"/>
      <c r="BO22" s="75"/>
      <c r="BQ22" s="75"/>
      <c r="BR22" s="76"/>
      <c r="BS22" s="75"/>
      <c r="BT22" s="76">
        <f>BT31</f>
        <v>1372242051.072</v>
      </c>
      <c r="BU22" s="75"/>
      <c r="BV22" s="910"/>
      <c r="BW22" s="304"/>
    </row>
    <row r="23" spans="1:77" ht="16.2" thickBot="1" x14ac:dyDescent="0.35">
      <c r="C23" s="141"/>
      <c r="D23" s="94">
        <f>SUM(D14:D21)</f>
        <v>1</v>
      </c>
      <c r="E23" s="371"/>
      <c r="F23" s="1093">
        <v>0.25</v>
      </c>
      <c r="G23" s="432">
        <f>E21*F23</f>
        <v>307668988.84950536</v>
      </c>
      <c r="H23" s="466">
        <v>0.92</v>
      </c>
      <c r="I23" s="432">
        <f>G23*H23</f>
        <v>283055469.74154496</v>
      </c>
      <c r="J23" s="466">
        <v>1</v>
      </c>
      <c r="K23" s="449">
        <f>I23*J23</f>
        <v>283055469.74154496</v>
      </c>
      <c r="L23" s="430">
        <f>H23</f>
        <v>0.92</v>
      </c>
      <c r="M23" s="449">
        <f>K23*L23</f>
        <v>260411032.16222137</v>
      </c>
      <c r="N23" s="430">
        <f>J23</f>
        <v>1</v>
      </c>
      <c r="O23" s="449">
        <f>M23*N23</f>
        <v>260411032.16222137</v>
      </c>
      <c r="P23" s="430">
        <f>L23</f>
        <v>0.92</v>
      </c>
      <c r="Q23" s="449">
        <f>O23*P23</f>
        <v>239578149.58924368</v>
      </c>
      <c r="R23" s="430">
        <f>N23</f>
        <v>1</v>
      </c>
      <c r="S23" s="449">
        <f>Q23*R23</f>
        <v>239578149.58924368</v>
      </c>
      <c r="T23" s="430">
        <f>P23</f>
        <v>0.92</v>
      </c>
      <c r="U23" s="449">
        <f>S23*T23</f>
        <v>220411897.6221042</v>
      </c>
      <c r="V23" s="430">
        <f>R23</f>
        <v>1</v>
      </c>
      <c r="W23" s="449">
        <f>U23*V23</f>
        <v>220411897.6221042</v>
      </c>
      <c r="X23" s="430">
        <f>T23</f>
        <v>0.92</v>
      </c>
      <c r="Y23" s="449">
        <f>W23*X23</f>
        <v>202778945.81233588</v>
      </c>
      <c r="Z23" s="430">
        <f>V23</f>
        <v>1</v>
      </c>
      <c r="AA23" s="449">
        <f>Y23*Z23</f>
        <v>202778945.81233588</v>
      </c>
      <c r="AB23" s="430">
        <f>X23</f>
        <v>0.92</v>
      </c>
      <c r="AC23" s="449">
        <f>AA23*AB23</f>
        <v>186556630.14734903</v>
      </c>
      <c r="AD23" s="430">
        <f>Z23</f>
        <v>1</v>
      </c>
      <c r="AE23" s="449">
        <f>AC23*AD23</f>
        <v>186556630.14734903</v>
      </c>
      <c r="AF23" s="430">
        <f>AB23</f>
        <v>0.92</v>
      </c>
      <c r="AG23" s="449">
        <f>AE23*AF23</f>
        <v>171632099.7355611</v>
      </c>
      <c r="AH23" s="430">
        <f>AD23</f>
        <v>1</v>
      </c>
      <c r="AI23" s="449">
        <f>AG23*AH23</f>
        <v>171632099.7355611</v>
      </c>
      <c r="AJ23" s="430">
        <f>AF23</f>
        <v>0.92</v>
      </c>
      <c r="AK23" s="449">
        <f>AI23*AJ23</f>
        <v>157901531.75671622</v>
      </c>
      <c r="AL23" s="430">
        <f>AH23</f>
        <v>1</v>
      </c>
      <c r="AM23" s="449">
        <f>AK23*AL23</f>
        <v>157901531.75671622</v>
      </c>
      <c r="AN23" s="161">
        <f>G23+I23+M23+Q23+U23+Y23+AC23+AG23+AK23</f>
        <v>2029994745.4165821</v>
      </c>
      <c r="AP23" s="595">
        <f>AJ23</f>
        <v>0.92</v>
      </c>
      <c r="AQ23" s="449">
        <f>AM23*AP23</f>
        <v>145269409.21617892</v>
      </c>
      <c r="AR23" s="623"/>
      <c r="AS23" s="624"/>
      <c r="AT23" s="628"/>
      <c r="AW23" s="473"/>
      <c r="BB23" s="982" t="s">
        <v>989</v>
      </c>
      <c r="BC23" s="983">
        <v>2016</v>
      </c>
      <c r="BD23" s="910">
        <v>75543543000000</v>
      </c>
      <c r="BE23" s="984">
        <v>2.5000000000000001E-2</v>
      </c>
      <c r="BF23" s="910">
        <f>BD23*BE23</f>
        <v>1888588575000</v>
      </c>
      <c r="BH23" s="75"/>
      <c r="BI23" s="968">
        <v>2016</v>
      </c>
      <c r="BJ23" s="305">
        <f>BJ20</f>
        <v>10737418.24</v>
      </c>
      <c r="BK23" s="986">
        <v>64</v>
      </c>
      <c r="BL23" s="411">
        <f t="shared" ref="BL23:BL35" si="0">BK23*BJ23</f>
        <v>687194767.36000001</v>
      </c>
      <c r="BM23" s="980"/>
      <c r="BN23" s="980"/>
      <c r="BO23" s="305">
        <f t="shared" ref="BO23:BO35" si="1">BL23*BM23</f>
        <v>0</v>
      </c>
      <c r="BQ23" s="75"/>
      <c r="BR23" s="76"/>
      <c r="BS23" s="75"/>
      <c r="BT23" s="953">
        <v>25000</v>
      </c>
      <c r="BU23" s="968" t="s">
        <v>1349</v>
      </c>
      <c r="BV23" s="910"/>
      <c r="BW23" s="981">
        <v>2016</v>
      </c>
    </row>
    <row r="24" spans="1:77"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122"/>
      <c r="AK24" s="448" t="s">
        <v>294</v>
      </c>
      <c r="AL24" s="122"/>
      <c r="AM24" s="8"/>
      <c r="AN24" s="126"/>
      <c r="AP24" s="122"/>
      <c r="AQ24" s="448" t="s">
        <v>294</v>
      </c>
      <c r="AR24" s="623"/>
      <c r="AS24" s="623"/>
      <c r="AT24" s="628"/>
      <c r="AW24" s="473"/>
      <c r="BB24" s="982" t="s">
        <v>989</v>
      </c>
      <c r="BC24" s="983">
        <f>BC23+1</f>
        <v>2017</v>
      </c>
      <c r="BD24" s="910">
        <f>BD23+BF23</f>
        <v>77432131575000</v>
      </c>
      <c r="BE24" s="985">
        <f>BE23</f>
        <v>2.5000000000000001E-2</v>
      </c>
      <c r="BF24" s="910">
        <f>BD24*BE24</f>
        <v>1935803289375</v>
      </c>
      <c r="BH24" s="75"/>
      <c r="BI24" s="968">
        <f>BI23+1</f>
        <v>2017</v>
      </c>
      <c r="BJ24" s="305">
        <f>BJ20</f>
        <v>10737418.24</v>
      </c>
      <c r="BK24" s="986">
        <v>64</v>
      </c>
      <c r="BL24" s="411">
        <f t="shared" si="0"/>
        <v>687194767.36000001</v>
      </c>
      <c r="BM24" s="980"/>
      <c r="BN24" s="980"/>
      <c r="BO24" s="305">
        <f t="shared" si="1"/>
        <v>0</v>
      </c>
      <c r="BQ24" s="75"/>
      <c r="BR24" s="76"/>
      <c r="BS24" s="75"/>
      <c r="BT24" s="76">
        <f>BT22/BT23</f>
        <v>54889.682042879998</v>
      </c>
      <c r="BU24" s="75"/>
      <c r="BV24" s="910"/>
      <c r="BW24" s="981">
        <f>BW23+1</f>
        <v>2017</v>
      </c>
    </row>
    <row r="25" spans="1:77" ht="16.2" thickBot="1" x14ac:dyDescent="0.35">
      <c r="C25" s="122"/>
      <c r="D25" s="573" t="s">
        <v>1367</v>
      </c>
      <c r="E25" s="7"/>
      <c r="F25" s="1094">
        <v>0.2</v>
      </c>
      <c r="G25" s="99">
        <f>E21*F25</f>
        <v>246135191.0796043</v>
      </c>
      <c r="H25" s="467">
        <v>0.92</v>
      </c>
      <c r="I25" s="99">
        <f>G25*H25</f>
        <v>226444375.79323596</v>
      </c>
      <c r="J25" s="467">
        <v>1</v>
      </c>
      <c r="K25" s="443">
        <f>I25*J25</f>
        <v>226444375.79323596</v>
      </c>
      <c r="L25" s="153">
        <f>H25</f>
        <v>0.92</v>
      </c>
      <c r="M25" s="443">
        <f>K25*L25</f>
        <v>208328825.7297771</v>
      </c>
      <c r="N25" s="153">
        <f>J25</f>
        <v>1</v>
      </c>
      <c r="O25" s="443">
        <f>M25*N25</f>
        <v>208328825.7297771</v>
      </c>
      <c r="P25" s="153">
        <f>L25</f>
        <v>0.92</v>
      </c>
      <c r="Q25" s="443">
        <f>O25*P25</f>
        <v>191662519.67139494</v>
      </c>
      <c r="R25" s="153">
        <f>N25</f>
        <v>1</v>
      </c>
      <c r="S25" s="443">
        <f>Q25*R25</f>
        <v>191662519.67139494</v>
      </c>
      <c r="T25" s="153">
        <f>P25</f>
        <v>0.92</v>
      </c>
      <c r="U25" s="443">
        <f>S25*T25</f>
        <v>176329518.09768337</v>
      </c>
      <c r="V25" s="153">
        <f>R25</f>
        <v>1</v>
      </c>
      <c r="W25" s="443">
        <f>U25*V25</f>
        <v>176329518.09768337</v>
      </c>
      <c r="X25" s="153">
        <f>T25</f>
        <v>0.92</v>
      </c>
      <c r="Y25" s="443">
        <f>W25*X25</f>
        <v>162223156.6498687</v>
      </c>
      <c r="Z25" s="153">
        <f>V25</f>
        <v>1</v>
      </c>
      <c r="AA25" s="443">
        <f>Y25*Z25</f>
        <v>162223156.6498687</v>
      </c>
      <c r="AB25" s="153">
        <f>X25</f>
        <v>0.92</v>
      </c>
      <c r="AC25" s="443">
        <f>AA25*AB25</f>
        <v>149245304.11787921</v>
      </c>
      <c r="AD25" s="153">
        <f>Z25</f>
        <v>1</v>
      </c>
      <c r="AE25" s="443">
        <f>AC25*AD25</f>
        <v>149245304.11787921</v>
      </c>
      <c r="AF25" s="153">
        <f>AB25</f>
        <v>0.92</v>
      </c>
      <c r="AG25" s="443">
        <f>AE25*AF25</f>
        <v>137305679.78844887</v>
      </c>
      <c r="AH25" s="153">
        <f>AD25</f>
        <v>1</v>
      </c>
      <c r="AI25" s="443">
        <f>AG25*AH25</f>
        <v>137305679.78844887</v>
      </c>
      <c r="AJ25" s="153">
        <f>AF25</f>
        <v>0.92</v>
      </c>
      <c r="AK25" s="443">
        <f>AI25*AJ25</f>
        <v>126321225.40537296</v>
      </c>
      <c r="AL25" s="153">
        <f>AH25</f>
        <v>1</v>
      </c>
      <c r="AM25" s="443">
        <f>AK25*AL25</f>
        <v>126321225.40537296</v>
      </c>
      <c r="AN25" s="161">
        <f>G25+I25+M25+Q25+U25+Y25+AC25+AG25+AK25</f>
        <v>1623995796.3332653</v>
      </c>
      <c r="AP25" s="596">
        <f>AJ25</f>
        <v>0.92</v>
      </c>
      <c r="AQ25" s="443">
        <f>AM25*AP25</f>
        <v>116215527.37294313</v>
      </c>
      <c r="AR25" s="623"/>
      <c r="AS25" s="624"/>
      <c r="AT25" s="628"/>
      <c r="AW25" s="473"/>
      <c r="BB25" s="982" t="s">
        <v>989</v>
      </c>
      <c r="BC25" s="983">
        <f t="shared" ref="BC25:BC35" si="2">BC24+1</f>
        <v>2018</v>
      </c>
      <c r="BD25" s="910">
        <f t="shared" ref="BD25:BD35" si="3">BD24+BF24</f>
        <v>79367934864375</v>
      </c>
      <c r="BE25" s="985">
        <f t="shared" ref="BE25:BE35" si="4">BE24</f>
        <v>2.5000000000000001E-2</v>
      </c>
      <c r="BF25" s="910">
        <f t="shared" ref="BF25:BF35" si="5">BD25*BE25</f>
        <v>1984198371609.375</v>
      </c>
      <c r="BH25" s="75"/>
      <c r="BI25" s="968">
        <f t="shared" ref="BI25:BI35" si="6">BI24+1</f>
        <v>2018</v>
      </c>
      <c r="BJ25" s="305">
        <f>BJ20</f>
        <v>10737418.24</v>
      </c>
      <c r="BK25" s="986">
        <v>64</v>
      </c>
      <c r="BL25" s="411">
        <f t="shared" si="0"/>
        <v>687194767.36000001</v>
      </c>
      <c r="BM25" s="980">
        <v>2.5000000000000001E-2</v>
      </c>
      <c r="BN25" s="980"/>
      <c r="BO25" s="305">
        <f t="shared" si="1"/>
        <v>17179869.184</v>
      </c>
      <c r="BP25" s="978" t="s">
        <v>1144</v>
      </c>
      <c r="BQ25" s="305">
        <f t="shared" ref="BQ25:BQ55" si="7">BO25</f>
        <v>17179869.184</v>
      </c>
      <c r="BR25" s="691">
        <f t="shared" ref="BR25:BR35" si="8">BQ25+BR24-BV25</f>
        <v>17179869.184</v>
      </c>
      <c r="BS25" s="893">
        <v>0.125</v>
      </c>
      <c r="BT25" s="973">
        <f>BR25*BS25</f>
        <v>2147483.648</v>
      </c>
      <c r="BU25" s="305">
        <f>AN58</f>
        <v>1099973598.3590388</v>
      </c>
      <c r="BV25" s="910">
        <f t="shared" ref="BV25:BV35" si="9">BL25*BN25</f>
        <v>0</v>
      </c>
      <c r="BW25" s="981">
        <f t="shared" ref="BW25:BW55" si="10">BW24+1</f>
        <v>2018</v>
      </c>
    </row>
    <row r="26" spans="1:77"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126"/>
      <c r="AP26" s="122"/>
      <c r="AQ26" s="452" t="s">
        <v>733</v>
      </c>
      <c r="AR26" s="623"/>
      <c r="AS26" s="623"/>
      <c r="AT26" s="628"/>
      <c r="AW26" s="473"/>
      <c r="BB26" s="982" t="s">
        <v>989</v>
      </c>
      <c r="BC26" s="983">
        <f t="shared" si="2"/>
        <v>2019</v>
      </c>
      <c r="BD26" s="910">
        <f t="shared" si="3"/>
        <v>81352133235984.375</v>
      </c>
      <c r="BE26" s="985">
        <f t="shared" si="4"/>
        <v>2.5000000000000001E-2</v>
      </c>
      <c r="BF26" s="910">
        <f t="shared" si="5"/>
        <v>2033803330899.6094</v>
      </c>
      <c r="BH26" s="75"/>
      <c r="BI26" s="968">
        <f t="shared" si="6"/>
        <v>2019</v>
      </c>
      <c r="BJ26" s="305">
        <f>BJ20</f>
        <v>10737418.24</v>
      </c>
      <c r="BK26" s="986">
        <v>64</v>
      </c>
      <c r="BL26" s="411">
        <f t="shared" si="0"/>
        <v>687194767.36000001</v>
      </c>
      <c r="BM26" s="980">
        <v>0.2</v>
      </c>
      <c r="BN26" s="980"/>
      <c r="BO26" s="305">
        <f t="shared" si="1"/>
        <v>137438953.472</v>
      </c>
      <c r="BP26" s="978" t="s">
        <v>1144</v>
      </c>
      <c r="BQ26" s="305">
        <f t="shared" si="7"/>
        <v>137438953.472</v>
      </c>
      <c r="BR26" s="691">
        <f t="shared" si="8"/>
        <v>154618822.65600002</v>
      </c>
      <c r="BS26" s="893">
        <f>BS25</f>
        <v>0.125</v>
      </c>
      <c r="BT26" s="973">
        <f t="shared" ref="BT26:BT55" si="11">BR26*BS26</f>
        <v>19327352.832000002</v>
      </c>
      <c r="BU26" s="305">
        <f>BU25</f>
        <v>1099973598.3590388</v>
      </c>
      <c r="BV26" s="910">
        <f t="shared" si="9"/>
        <v>0</v>
      </c>
      <c r="BW26" s="981">
        <f t="shared" si="10"/>
        <v>2019</v>
      </c>
    </row>
    <row r="27" spans="1:77" ht="19.2" thickBot="1" x14ac:dyDescent="0.5">
      <c r="C27" s="122"/>
      <c r="D27" s="574" t="s">
        <v>1369</v>
      </c>
      <c r="E27" s="7"/>
      <c r="F27" s="1096">
        <v>0.25</v>
      </c>
      <c r="G27" s="446">
        <f>E21*F27</f>
        <v>307668988.84950536</v>
      </c>
      <c r="H27" s="447">
        <v>0.25</v>
      </c>
      <c r="I27" s="446">
        <f>G27*H27</f>
        <v>76917247.212376341</v>
      </c>
      <c r="J27" s="447">
        <v>1</v>
      </c>
      <c r="K27" s="439">
        <f>I27*J27</f>
        <v>76917247.212376341</v>
      </c>
      <c r="L27" s="438">
        <f>H27</f>
        <v>0.25</v>
      </c>
      <c r="M27" s="439">
        <f>K27*L27</f>
        <v>19229311.803094085</v>
      </c>
      <c r="N27" s="438">
        <f>J27</f>
        <v>1</v>
      </c>
      <c r="O27" s="439">
        <f>M27*N27</f>
        <v>19229311.803094085</v>
      </c>
      <c r="P27" s="438">
        <f>L27</f>
        <v>0.25</v>
      </c>
      <c r="Q27" s="439">
        <f>O27*P27</f>
        <v>4807327.9507735213</v>
      </c>
      <c r="R27" s="438">
        <f>N27</f>
        <v>1</v>
      </c>
      <c r="S27" s="439">
        <f>Q27*R27</f>
        <v>4807327.9507735213</v>
      </c>
      <c r="T27" s="438">
        <f>P27</f>
        <v>0.25</v>
      </c>
      <c r="U27" s="439">
        <f>S27*T27</f>
        <v>1201831.9876933803</v>
      </c>
      <c r="V27" s="438">
        <f>R27</f>
        <v>1</v>
      </c>
      <c r="W27" s="439">
        <f>U27*V27</f>
        <v>1201831.9876933803</v>
      </c>
      <c r="X27" s="438">
        <f>T27</f>
        <v>0.25</v>
      </c>
      <c r="Y27" s="439">
        <f>W27*X27</f>
        <v>300457.99692334508</v>
      </c>
      <c r="Z27" s="438">
        <f>V27</f>
        <v>1</v>
      </c>
      <c r="AA27" s="439">
        <f>Y27*Z27</f>
        <v>300457.99692334508</v>
      </c>
      <c r="AB27" s="438">
        <f>X27</f>
        <v>0.25</v>
      </c>
      <c r="AC27" s="439">
        <f>AA27*AB27</f>
        <v>75114.499230836271</v>
      </c>
      <c r="AD27" s="438">
        <f>Z27</f>
        <v>1</v>
      </c>
      <c r="AE27" s="439">
        <f>AC27*AD27</f>
        <v>75114.499230836271</v>
      </c>
      <c r="AF27" s="438">
        <f>AB27</f>
        <v>0.25</v>
      </c>
      <c r="AG27" s="439">
        <f>AE27*AF27</f>
        <v>18778.624807709068</v>
      </c>
      <c r="AH27" s="438">
        <f>AD27</f>
        <v>1</v>
      </c>
      <c r="AI27" s="439">
        <f>AG27*AH27</f>
        <v>18778.624807709068</v>
      </c>
      <c r="AJ27" s="438">
        <f>AF27</f>
        <v>0.25</v>
      </c>
      <c r="AK27" s="439">
        <f>AI27*AJ27</f>
        <v>4694.6562019272669</v>
      </c>
      <c r="AL27" s="438">
        <f>AH27</f>
        <v>1</v>
      </c>
      <c r="AM27" s="439">
        <f>AK27*AL27</f>
        <v>4694.6562019272669</v>
      </c>
      <c r="AN27" s="161">
        <f>G27+I27+M27+Q27+U27+Y27+AC27+AG27+AK27</f>
        <v>410223753.58060652</v>
      </c>
      <c r="AP27" s="597">
        <f>AJ27</f>
        <v>0.25</v>
      </c>
      <c r="AQ27" s="439">
        <f>AM27*AP27</f>
        <v>1173.6640504818167</v>
      </c>
      <c r="AR27" s="623"/>
      <c r="AS27" s="624"/>
      <c r="AT27" s="628"/>
      <c r="AW27" s="473"/>
      <c r="BB27" s="982" t="s">
        <v>989</v>
      </c>
      <c r="BC27" s="983">
        <f t="shared" si="2"/>
        <v>2020</v>
      </c>
      <c r="BD27" s="910">
        <f t="shared" si="3"/>
        <v>83385936566883.984</v>
      </c>
      <c r="BE27" s="985">
        <f t="shared" si="4"/>
        <v>2.5000000000000001E-2</v>
      </c>
      <c r="BF27" s="910">
        <f t="shared" si="5"/>
        <v>2084648414172.0996</v>
      </c>
      <c r="BG27" s="895" t="s">
        <v>1283</v>
      </c>
      <c r="BH27" s="75"/>
      <c r="BI27" s="968">
        <f t="shared" si="6"/>
        <v>2020</v>
      </c>
      <c r="BJ27" s="305">
        <f>BJ20</f>
        <v>10737418.24</v>
      </c>
      <c r="BK27" s="986">
        <v>64</v>
      </c>
      <c r="BL27" s="411">
        <f t="shared" si="0"/>
        <v>687194767.36000001</v>
      </c>
      <c r="BM27" s="980">
        <v>1.5</v>
      </c>
      <c r="BN27" s="980"/>
      <c r="BO27" s="305">
        <f t="shared" si="1"/>
        <v>1030792151.04</v>
      </c>
      <c r="BP27" s="978" t="s">
        <v>1144</v>
      </c>
      <c r="BQ27" s="305">
        <f t="shared" si="7"/>
        <v>1030792151.04</v>
      </c>
      <c r="BR27" s="691">
        <f t="shared" si="8"/>
        <v>1185410973.6960001</v>
      </c>
      <c r="BS27" s="893">
        <f t="shared" ref="BS27:BS31" si="12">BS26</f>
        <v>0.125</v>
      </c>
      <c r="BT27" s="973">
        <f t="shared" si="11"/>
        <v>148176371.71200001</v>
      </c>
      <c r="BU27" s="305">
        <f t="shared" ref="BU27:BU55" si="13">BU26</f>
        <v>1099973598.3590388</v>
      </c>
      <c r="BV27" s="910">
        <f t="shared" si="9"/>
        <v>0</v>
      </c>
      <c r="BW27" s="981">
        <f t="shared" si="10"/>
        <v>2020</v>
      </c>
    </row>
    <row r="28" spans="1:77"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437"/>
      <c r="AK28" s="434"/>
      <c r="AL28" s="142"/>
      <c r="AM28" s="434"/>
      <c r="AN28" s="180"/>
      <c r="AP28" s="122"/>
      <c r="AQ28" s="8"/>
      <c r="AR28" s="623"/>
      <c r="AS28" s="624"/>
      <c r="AT28" s="629">
        <f>AQ5</f>
        <v>1780553660.3668303</v>
      </c>
      <c r="AW28" s="473"/>
      <c r="BB28" s="982" t="s">
        <v>989</v>
      </c>
      <c r="BC28" s="983">
        <f t="shared" si="2"/>
        <v>2021</v>
      </c>
      <c r="BD28" s="910">
        <f t="shared" si="3"/>
        <v>85470584981056.078</v>
      </c>
      <c r="BE28" s="985">
        <f t="shared" si="4"/>
        <v>2.5000000000000001E-2</v>
      </c>
      <c r="BF28" s="910">
        <f t="shared" si="5"/>
        <v>2136764624526.4021</v>
      </c>
      <c r="BH28" s="75"/>
      <c r="BI28" s="968">
        <f t="shared" si="6"/>
        <v>2021</v>
      </c>
      <c r="BJ28" s="305">
        <f>BJ20</f>
        <v>10737418.24</v>
      </c>
      <c r="BK28" s="986">
        <v>64</v>
      </c>
      <c r="BL28" s="411">
        <f t="shared" si="0"/>
        <v>687194767.36000001</v>
      </c>
      <c r="BM28" s="980">
        <v>1.25</v>
      </c>
      <c r="BN28" s="980"/>
      <c r="BO28" s="305">
        <f t="shared" si="1"/>
        <v>858993459.20000005</v>
      </c>
      <c r="BP28" s="978" t="s">
        <v>1144</v>
      </c>
      <c r="BQ28" s="305">
        <f t="shared" si="7"/>
        <v>858993459.20000005</v>
      </c>
      <c r="BR28" s="691">
        <f t="shared" si="8"/>
        <v>2044404432.8960001</v>
      </c>
      <c r="BS28" s="893">
        <f t="shared" si="12"/>
        <v>0.125</v>
      </c>
      <c r="BT28" s="973">
        <f t="shared" si="11"/>
        <v>255550554.11200002</v>
      </c>
      <c r="BU28" s="305">
        <f t="shared" si="13"/>
        <v>1099973598.3590388</v>
      </c>
      <c r="BV28" s="910">
        <f t="shared" si="9"/>
        <v>0</v>
      </c>
      <c r="BW28" s="981">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22779445782.002834</v>
      </c>
      <c r="AP29" s="179"/>
      <c r="AQ29" s="161">
        <f>SUM(AQ10:AQ28)</f>
        <v>1586011448.9467072</v>
      </c>
      <c r="AR29" s="691">
        <v>1</v>
      </c>
      <c r="AS29" s="183">
        <f>AQ29*AR29</f>
        <v>1586011448.9467072</v>
      </c>
      <c r="AT29" s="645">
        <f>AS29+AT28</f>
        <v>3366565109.3135376</v>
      </c>
      <c r="AU29" s="253" t="s">
        <v>1383</v>
      </c>
      <c r="AW29" s="473"/>
      <c r="BB29" s="982" t="s">
        <v>989</v>
      </c>
      <c r="BC29" s="983">
        <f>BC28+1</f>
        <v>2022</v>
      </c>
      <c r="BD29" s="910">
        <f>BD28+BF28</f>
        <v>87607349605582.484</v>
      </c>
      <c r="BE29" s="985">
        <f>BE28</f>
        <v>2.5000000000000001E-2</v>
      </c>
      <c r="BF29" s="910">
        <f t="shared" si="5"/>
        <v>2190183740139.5623</v>
      </c>
      <c r="BH29" s="75"/>
      <c r="BI29" s="968">
        <f>BI28+1</f>
        <v>2022</v>
      </c>
      <c r="BJ29" s="305">
        <f>BJ20</f>
        <v>10737418.24</v>
      </c>
      <c r="BK29" s="986">
        <v>64</v>
      </c>
      <c r="BL29" s="411">
        <f t="shared" si="0"/>
        <v>687194767.36000001</v>
      </c>
      <c r="BM29" s="980">
        <v>2</v>
      </c>
      <c r="BN29" s="980"/>
      <c r="BO29" s="305">
        <f t="shared" si="1"/>
        <v>1374389534.72</v>
      </c>
      <c r="BP29" s="978" t="s">
        <v>1144</v>
      </c>
      <c r="BQ29" s="305">
        <f t="shared" si="7"/>
        <v>1374389534.72</v>
      </c>
      <c r="BR29" s="691">
        <f t="shared" si="8"/>
        <v>3418793967.6160002</v>
      </c>
      <c r="BS29" s="893">
        <f t="shared" si="12"/>
        <v>0.125</v>
      </c>
      <c r="BT29" s="973">
        <f t="shared" si="11"/>
        <v>427349245.95200002</v>
      </c>
      <c r="BU29" s="305">
        <f t="shared" si="13"/>
        <v>1099973598.3590388</v>
      </c>
      <c r="BV29" s="910">
        <f t="shared" si="9"/>
        <v>0</v>
      </c>
      <c r="BW29" s="981">
        <f>BW28+1</f>
        <v>2022</v>
      </c>
    </row>
    <row r="30" spans="1:77" x14ac:dyDescent="0.3">
      <c r="C30" s="158"/>
      <c r="D30" s="10"/>
      <c r="E30" s="10"/>
      <c r="F30" s="10"/>
      <c r="G30" s="159">
        <f>SUM(G10:G29)</f>
        <v>3771070228.9848399</v>
      </c>
      <c r="H30" s="599"/>
      <c r="I30" s="172">
        <f>SUM(I10:I29)</f>
        <v>3219233824.8096852</v>
      </c>
      <c r="J30" s="158"/>
      <c r="K30" s="11"/>
      <c r="L30" s="160"/>
      <c r="M30" s="161">
        <f>SUM(M10:M29)</f>
        <v>2888154281.5290194</v>
      </c>
      <c r="N30" s="158"/>
      <c r="O30" s="11"/>
      <c r="P30" s="598"/>
      <c r="Q30" s="172">
        <f>SUM(Q10:Q29)</f>
        <v>2633215159.2668252</v>
      </c>
      <c r="R30" s="158"/>
      <c r="S30" s="11"/>
      <c r="T30" s="160"/>
      <c r="U30" s="161">
        <f>SUM(U10:U29)</f>
        <v>2413835466.3825607</v>
      </c>
      <c r="V30" s="158"/>
      <c r="W30" s="11"/>
      <c r="X30" s="598"/>
      <c r="Y30" s="172">
        <f>SUM(Y10:Y29)</f>
        <v>2217172616.4322519</v>
      </c>
      <c r="Z30" s="158"/>
      <c r="AA30" s="11"/>
      <c r="AB30" s="160"/>
      <c r="AC30" s="161">
        <f>SUM(AC10:AC29)</f>
        <v>2038222107.6557584</v>
      </c>
      <c r="AD30" s="158"/>
      <c r="AE30" s="11"/>
      <c r="AF30" s="598"/>
      <c r="AG30" s="172">
        <f>SUM(AG10:AG29)</f>
        <v>1874426316.0268252</v>
      </c>
      <c r="AH30" s="158"/>
      <c r="AI30" s="11"/>
      <c r="AJ30" s="179"/>
      <c r="AK30" s="161">
        <f>SUM(AK10:AK29)</f>
        <v>1724115780.9150643</v>
      </c>
      <c r="AL30" s="158"/>
      <c r="AM30" s="11"/>
      <c r="AN30" s="161">
        <f>G30+I30+M30+Q30+U30+Y30+AC30+AG30+AK30</f>
        <v>22779445782.002831</v>
      </c>
      <c r="AT30" s="253" t="s">
        <v>1383</v>
      </c>
      <c r="AW30" s="473"/>
      <c r="BB30" s="982" t="s">
        <v>989</v>
      </c>
      <c r="BC30" s="983">
        <f>BC29+1</f>
        <v>2023</v>
      </c>
      <c r="BD30" s="910">
        <f>BD29+BF29</f>
        <v>89797533345722.047</v>
      </c>
      <c r="BE30" s="985">
        <f>BE29</f>
        <v>2.5000000000000001E-2</v>
      </c>
      <c r="BF30" s="910">
        <f t="shared" si="5"/>
        <v>2244938333643.0513</v>
      </c>
      <c r="BH30" s="75"/>
      <c r="BI30" s="968">
        <f>BI29+1</f>
        <v>2023</v>
      </c>
      <c r="BJ30" s="305">
        <f>BJ20</f>
        <v>10737418.24</v>
      </c>
      <c r="BK30" s="986">
        <v>64</v>
      </c>
      <c r="BL30" s="411">
        <f t="shared" si="0"/>
        <v>687194767.36000001</v>
      </c>
      <c r="BM30" s="980">
        <v>3</v>
      </c>
      <c r="BN30" s="980"/>
      <c r="BO30" s="305">
        <f t="shared" si="1"/>
        <v>2061584302.0799999</v>
      </c>
      <c r="BP30" s="978" t="s">
        <v>1144</v>
      </c>
      <c r="BQ30" s="305">
        <f t="shared" si="7"/>
        <v>2061584302.0799999</v>
      </c>
      <c r="BR30" s="691">
        <f t="shared" si="8"/>
        <v>5480378269.6960001</v>
      </c>
      <c r="BS30" s="893">
        <f t="shared" si="12"/>
        <v>0.125</v>
      </c>
      <c r="BT30" s="973">
        <f t="shared" si="11"/>
        <v>685047283.71200001</v>
      </c>
      <c r="BU30" s="305">
        <f t="shared" si="13"/>
        <v>1099973598.3590388</v>
      </c>
      <c r="BV30" s="910">
        <f t="shared" si="9"/>
        <v>0</v>
      </c>
      <c r="BW30" s="981">
        <f>BW29+1</f>
        <v>2023</v>
      </c>
    </row>
    <row r="31" spans="1:77" x14ac:dyDescent="0.3">
      <c r="I31" s="30"/>
      <c r="Q31" s="30"/>
      <c r="Y31" s="30"/>
      <c r="AN31" s="999" t="s">
        <v>1355</v>
      </c>
      <c r="AP31" s="77" t="s">
        <v>1382</v>
      </c>
      <c r="AQ31" s="567">
        <f>AN34</f>
        <v>6.3192807340740149</v>
      </c>
      <c r="AR31" s="76"/>
      <c r="AS31" s="76" t="s">
        <v>957</v>
      </c>
      <c r="AW31" s="473"/>
      <c r="BB31" s="982" t="s">
        <v>989</v>
      </c>
      <c r="BC31" s="983">
        <f t="shared" si="2"/>
        <v>2024</v>
      </c>
      <c r="BD31" s="910">
        <f t="shared" si="3"/>
        <v>92042471679365.094</v>
      </c>
      <c r="BE31" s="985">
        <f t="shared" si="4"/>
        <v>2.5000000000000001E-2</v>
      </c>
      <c r="BF31" s="910">
        <f t="shared" si="5"/>
        <v>2301061791984.1274</v>
      </c>
      <c r="BG31" s="895" t="s">
        <v>1282</v>
      </c>
      <c r="BH31" s="75"/>
      <c r="BI31" s="968">
        <f t="shared" si="6"/>
        <v>2024</v>
      </c>
      <c r="BJ31" s="305">
        <f>BJ20</f>
        <v>10737418.24</v>
      </c>
      <c r="BK31" s="986">
        <v>64</v>
      </c>
      <c r="BL31" s="411">
        <f t="shared" si="0"/>
        <v>687194767.36000001</v>
      </c>
      <c r="BM31" s="980">
        <v>8</v>
      </c>
      <c r="BN31" s="980"/>
      <c r="BO31" s="305">
        <f t="shared" si="1"/>
        <v>5497558138.8800001</v>
      </c>
      <c r="BP31" s="978" t="s">
        <v>1144</v>
      </c>
      <c r="BQ31" s="305">
        <f t="shared" si="7"/>
        <v>5497558138.8800001</v>
      </c>
      <c r="BR31" s="691">
        <f t="shared" si="8"/>
        <v>10977936408.576</v>
      </c>
      <c r="BS31" s="893">
        <f t="shared" si="12"/>
        <v>0.125</v>
      </c>
      <c r="BT31" s="995">
        <f t="shared" si="11"/>
        <v>1372242051.072</v>
      </c>
      <c r="BU31" s="305">
        <f t="shared" si="13"/>
        <v>1099973598.3590388</v>
      </c>
      <c r="BV31" s="910">
        <f t="shared" si="9"/>
        <v>0</v>
      </c>
      <c r="BW31" s="981">
        <f t="shared" si="10"/>
        <v>2024</v>
      </c>
      <c r="BX31" s="1000">
        <v>0.125</v>
      </c>
      <c r="BY31" s="1001">
        <f>BT31*BS31</f>
        <v>171530256.384</v>
      </c>
    </row>
    <row r="32" spans="1:77" x14ac:dyDescent="0.3">
      <c r="A32" s="690"/>
      <c r="B32" s="690"/>
      <c r="I32" s="690"/>
      <c r="AM32" s="1150" t="s">
        <v>306</v>
      </c>
      <c r="AN32" s="182">
        <f>E8</f>
        <v>7542140457.9696798</v>
      </c>
      <c r="AP32" s="736">
        <f>AN47</f>
        <v>7542140457.9696798</v>
      </c>
      <c r="AQ32" s="568">
        <f>AP32*AN34</f>
        <v>47660902889.727966</v>
      </c>
      <c r="AR32" s="208">
        <f>AO49</f>
        <v>0.66163000000000005</v>
      </c>
      <c r="AS32" s="691">
        <f>AQ32*AR32</f>
        <v>31533883178.930717</v>
      </c>
      <c r="AW32" s="473"/>
      <c r="BB32" s="332" t="s">
        <v>989</v>
      </c>
      <c r="BC32" s="953">
        <f>BC31+1</f>
        <v>2025</v>
      </c>
      <c r="BD32" s="691">
        <f>BD31+BF31</f>
        <v>94343533471349.219</v>
      </c>
      <c r="BE32" s="894">
        <f>BE31</f>
        <v>2.5000000000000001E-2</v>
      </c>
      <c r="BF32" s="691">
        <f t="shared" si="5"/>
        <v>2358588336783.7305</v>
      </c>
      <c r="BH32" s="332" t="s">
        <v>963</v>
      </c>
      <c r="BI32" s="953">
        <f>BI31+1</f>
        <v>2025</v>
      </c>
      <c r="BJ32" s="691">
        <f>BJ20</f>
        <v>10737418.24</v>
      </c>
      <c r="BK32" s="987">
        <v>64</v>
      </c>
      <c r="BL32" s="875">
        <f t="shared" si="0"/>
        <v>687194767.36000001</v>
      </c>
      <c r="BM32" s="977"/>
      <c r="BN32" s="977"/>
      <c r="BO32" s="691">
        <f t="shared" si="1"/>
        <v>0</v>
      </c>
      <c r="BQ32" s="691">
        <f t="shared" si="7"/>
        <v>0</v>
      </c>
      <c r="BR32" s="691">
        <f t="shared" si="8"/>
        <v>10977936408.576</v>
      </c>
      <c r="BS32" s="894">
        <f>BS31</f>
        <v>0.125</v>
      </c>
      <c r="BT32" s="975">
        <f t="shared" si="11"/>
        <v>1372242051.072</v>
      </c>
      <c r="BU32" s="691">
        <f t="shared" si="13"/>
        <v>1099973598.3590388</v>
      </c>
      <c r="BV32" s="183">
        <f t="shared" si="9"/>
        <v>0</v>
      </c>
      <c r="BW32" s="949">
        <f>BW31+1</f>
        <v>2025</v>
      </c>
    </row>
    <row r="33" spans="1:75" x14ac:dyDescent="0.3">
      <c r="I33" s="690"/>
      <c r="J33" s="18"/>
      <c r="K33" s="690"/>
      <c r="AM33" s="122" t="s">
        <v>307</v>
      </c>
      <c r="AN33" s="183">
        <f>AN29+AN5</f>
        <v>47660902889.727966</v>
      </c>
      <c r="AQ33" s="248"/>
      <c r="AS33" s="181"/>
      <c r="AW33" s="473"/>
      <c r="BB33" s="332" t="s">
        <v>989</v>
      </c>
      <c r="BC33" s="953">
        <f t="shared" si="2"/>
        <v>2026</v>
      </c>
      <c r="BD33" s="691">
        <f t="shared" si="3"/>
        <v>96702121808132.953</v>
      </c>
      <c r="BE33" s="894">
        <f t="shared" si="4"/>
        <v>2.5000000000000001E-2</v>
      </c>
      <c r="BF33" s="691">
        <f t="shared" si="5"/>
        <v>2417553045203.3237</v>
      </c>
      <c r="BH33" s="332"/>
      <c r="BI33" s="953">
        <f t="shared" si="6"/>
        <v>2026</v>
      </c>
      <c r="BJ33" s="691">
        <f>BJ20</f>
        <v>10737418.24</v>
      </c>
      <c r="BK33" s="987">
        <v>64</v>
      </c>
      <c r="BL33" s="875">
        <f t="shared" si="0"/>
        <v>687194767.36000001</v>
      </c>
      <c r="BM33" s="977"/>
      <c r="BN33" s="977"/>
      <c r="BO33" s="691">
        <f t="shared" si="1"/>
        <v>0</v>
      </c>
      <c r="BQ33" s="691">
        <f t="shared" si="7"/>
        <v>0</v>
      </c>
      <c r="BR33" s="691">
        <f t="shared" si="8"/>
        <v>10977936408.576</v>
      </c>
      <c r="BS33" s="894">
        <f>BS32</f>
        <v>0.125</v>
      </c>
      <c r="BT33" s="975">
        <f t="shared" si="11"/>
        <v>1372242051.072</v>
      </c>
      <c r="BU33" s="691">
        <f t="shared" si="13"/>
        <v>1099973598.3590388</v>
      </c>
      <c r="BV33" s="183">
        <f t="shared" si="9"/>
        <v>0</v>
      </c>
      <c r="BW33" s="949">
        <f t="shared" si="10"/>
        <v>2026</v>
      </c>
    </row>
    <row r="34" spans="1:75" x14ac:dyDescent="0.3">
      <c r="A34" s="690"/>
      <c r="B34" s="690"/>
      <c r="C34" s="900" t="s">
        <v>1036</v>
      </c>
      <c r="D34" s="901" t="s">
        <v>1287</v>
      </c>
      <c r="E34" s="4"/>
      <c r="F34" s="4"/>
      <c r="G34" s="5"/>
      <c r="AM34" s="1150" t="s">
        <v>310</v>
      </c>
      <c r="AN34" s="184">
        <f>AN33/AN32</f>
        <v>6.3192807340740149</v>
      </c>
      <c r="AO34" s="239"/>
      <c r="AP34" s="239" t="s">
        <v>974</v>
      </c>
      <c r="AQ34" s="248" t="s">
        <v>1384</v>
      </c>
      <c r="AR34" s="239"/>
      <c r="AS34" s="181"/>
      <c r="AW34" s="473"/>
      <c r="BB34" s="332" t="s">
        <v>989</v>
      </c>
      <c r="BC34" s="953">
        <f t="shared" si="2"/>
        <v>2027</v>
      </c>
      <c r="BD34" s="691">
        <f t="shared" si="3"/>
        <v>99119674853336.281</v>
      </c>
      <c r="BE34" s="894">
        <f t="shared" si="4"/>
        <v>2.5000000000000001E-2</v>
      </c>
      <c r="BF34" s="691">
        <f t="shared" si="5"/>
        <v>2477991871333.4072</v>
      </c>
      <c r="BH34" s="76"/>
      <c r="BI34" s="953">
        <f t="shared" si="6"/>
        <v>2027</v>
      </c>
      <c r="BJ34" s="691">
        <f>BJ20</f>
        <v>10737418.24</v>
      </c>
      <c r="BK34" s="987">
        <v>64</v>
      </c>
      <c r="BL34" s="875">
        <f t="shared" si="0"/>
        <v>687194767.36000001</v>
      </c>
      <c r="BM34" s="977">
        <v>8</v>
      </c>
      <c r="BN34" s="977"/>
      <c r="BO34" s="691">
        <f t="shared" si="1"/>
        <v>5497558138.8800001</v>
      </c>
      <c r="BQ34" s="691">
        <f t="shared" si="7"/>
        <v>5497558138.8800001</v>
      </c>
      <c r="BR34" s="691">
        <f t="shared" si="8"/>
        <v>16475494547.456001</v>
      </c>
      <c r="BS34" s="894">
        <f t="shared" ref="BS34:BS55" si="14">BS33</f>
        <v>0.125</v>
      </c>
      <c r="BT34" s="975">
        <f t="shared" si="11"/>
        <v>2059436818.4320002</v>
      </c>
      <c r="BU34" s="691">
        <f t="shared" si="13"/>
        <v>1099973598.3590388</v>
      </c>
      <c r="BV34" s="183">
        <f t="shared" si="9"/>
        <v>0</v>
      </c>
      <c r="BW34" s="949">
        <f t="shared" si="10"/>
        <v>2027</v>
      </c>
    </row>
    <row r="35" spans="1:75" x14ac:dyDescent="0.3">
      <c r="A35" s="690"/>
      <c r="B35" s="690"/>
      <c r="C35" s="122" t="s">
        <v>732</v>
      </c>
      <c r="D35" s="287" t="s">
        <v>1288</v>
      </c>
      <c r="E35" s="7" t="s">
        <v>1289</v>
      </c>
      <c r="F35" s="7"/>
      <c r="G35" s="8"/>
      <c r="AL35" s="38"/>
      <c r="AM35" s="1150" t="s">
        <v>785</v>
      </c>
      <c r="AN35" s="472"/>
      <c r="AO35" s="473"/>
      <c r="AP35" s="472"/>
      <c r="AQ35" s="472">
        <f>AP35-AN35</f>
        <v>0</v>
      </c>
      <c r="AR35" s="473"/>
      <c r="AS35" s="563"/>
      <c r="AT35" s="473"/>
      <c r="AU35" s="473"/>
      <c r="AV35" s="473"/>
      <c r="AW35" s="473"/>
      <c r="AX35" s="88"/>
      <c r="AY35" s="88"/>
      <c r="AZ35" s="88"/>
      <c r="BA35" s="88"/>
      <c r="BB35" s="332" t="s">
        <v>989</v>
      </c>
      <c r="BC35" s="953">
        <f t="shared" si="2"/>
        <v>2028</v>
      </c>
      <c r="BD35" s="691">
        <f t="shared" si="3"/>
        <v>101597666724669.69</v>
      </c>
      <c r="BE35" s="894">
        <f t="shared" si="4"/>
        <v>2.5000000000000001E-2</v>
      </c>
      <c r="BF35" s="691">
        <f t="shared" si="5"/>
        <v>2539941668116.7422</v>
      </c>
      <c r="BH35" s="76"/>
      <c r="BI35" s="953">
        <f t="shared" si="6"/>
        <v>2028</v>
      </c>
      <c r="BJ35" s="691">
        <f>BJ20</f>
        <v>10737418.24</v>
      </c>
      <c r="BK35" s="987">
        <v>64</v>
      </c>
      <c r="BL35" s="875">
        <f t="shared" si="0"/>
        <v>687194767.36000001</v>
      </c>
      <c r="BM35" s="977"/>
      <c r="BN35" s="977"/>
      <c r="BO35" s="691">
        <f t="shared" si="1"/>
        <v>0</v>
      </c>
      <c r="BQ35" s="691">
        <f t="shared" si="7"/>
        <v>0</v>
      </c>
      <c r="BR35" s="691">
        <f t="shared" si="8"/>
        <v>16475494547.456001</v>
      </c>
      <c r="BS35" s="894">
        <f t="shared" si="14"/>
        <v>0.125</v>
      </c>
      <c r="BT35" s="975">
        <f t="shared" si="11"/>
        <v>2059436818.4320002</v>
      </c>
      <c r="BU35" s="691">
        <f t="shared" si="13"/>
        <v>1099973598.3590388</v>
      </c>
      <c r="BV35" s="183">
        <f t="shared" si="9"/>
        <v>0</v>
      </c>
      <c r="BW35" s="949">
        <f t="shared" si="10"/>
        <v>2028</v>
      </c>
    </row>
    <row r="36" spans="1:75" x14ac:dyDescent="0.3">
      <c r="A36" s="690"/>
      <c r="B36" s="690"/>
      <c r="C36" s="1151">
        <v>32</v>
      </c>
      <c r="D36" s="411">
        <f>'POP Dimensions'!J15</f>
        <v>21474836.48</v>
      </c>
      <c r="E36" s="411">
        <f>C36*D36</f>
        <v>687194767.36000001</v>
      </c>
      <c r="F36" s="896"/>
      <c r="G36" s="902" t="s">
        <v>732</v>
      </c>
      <c r="AL36" s="38"/>
      <c r="AM36" s="1206" t="s">
        <v>1445</v>
      </c>
      <c r="AN36" s="1207">
        <f>'POP Dimensions'!L16</f>
        <v>343597383.68000001</v>
      </c>
      <c r="AO36" s="88"/>
      <c r="AP36" s="511"/>
      <c r="AQ36" s="511"/>
      <c r="AR36" s="88"/>
      <c r="AS36" s="181"/>
      <c r="AT36" s="88"/>
      <c r="AU36" s="88"/>
      <c r="AV36" s="616">
        <f>AS47*AX47</f>
        <v>159911218606.52646</v>
      </c>
      <c r="AW36" s="617" t="s">
        <v>778</v>
      </c>
      <c r="AX36" s="88"/>
      <c r="AY36" s="88"/>
      <c r="AZ36" s="88"/>
      <c r="BA36" s="88"/>
      <c r="BB36" s="332" t="s">
        <v>989</v>
      </c>
      <c r="BC36" s="953">
        <f>BC35+1</f>
        <v>2029</v>
      </c>
      <c r="BD36" s="691">
        <f>BD35+BF35</f>
        <v>104137608392786.44</v>
      </c>
      <c r="BE36" s="894">
        <f>BE35</f>
        <v>2.5000000000000001E-2</v>
      </c>
      <c r="BF36" s="691">
        <f>BD36*BE36</f>
        <v>2603440209819.6611</v>
      </c>
      <c r="BH36" s="76"/>
      <c r="BI36" s="953">
        <f>BI35+1</f>
        <v>2029</v>
      </c>
      <c r="BJ36" s="691">
        <f>BJ20</f>
        <v>10737418.24</v>
      </c>
      <c r="BK36" s="987">
        <v>64</v>
      </c>
      <c r="BL36" s="875">
        <f>BK36*BJ36</f>
        <v>687194767.36000001</v>
      </c>
      <c r="BM36" s="977"/>
      <c r="BN36" s="977"/>
      <c r="BO36" s="691">
        <f>BL36*BM36</f>
        <v>0</v>
      </c>
      <c r="BQ36" s="691">
        <f t="shared" si="7"/>
        <v>0</v>
      </c>
      <c r="BR36" s="691">
        <f>BQ36+BR35-BV36</f>
        <v>16475494547.456001</v>
      </c>
      <c r="BS36" s="894">
        <f t="shared" si="14"/>
        <v>0.125</v>
      </c>
      <c r="BT36" s="975">
        <f t="shared" si="11"/>
        <v>2059436818.4320002</v>
      </c>
      <c r="BU36" s="691">
        <f t="shared" si="13"/>
        <v>1099973598.3590388</v>
      </c>
      <c r="BV36" s="183">
        <f>BL36*BN36</f>
        <v>0</v>
      </c>
      <c r="BW36" s="949">
        <f t="shared" si="10"/>
        <v>2029</v>
      </c>
    </row>
    <row r="37" spans="1:75" x14ac:dyDescent="0.3">
      <c r="A37" s="690"/>
      <c r="B37" s="690"/>
      <c r="C37" s="1152">
        <f>C36*2</f>
        <v>64</v>
      </c>
      <c r="D37" s="897">
        <f>D36</f>
        <v>21474836.48</v>
      </c>
      <c r="E37" s="897">
        <f t="shared" ref="E37:E43" si="15">C37*D37</f>
        <v>1374389534.72</v>
      </c>
      <c r="F37" s="874"/>
      <c r="G37" s="903" t="s">
        <v>732</v>
      </c>
      <c r="AL37" s="38"/>
      <c r="AM37" s="1206" t="s">
        <v>1444</v>
      </c>
      <c r="AN37" s="1207">
        <f>'POP Dimensions'!H17</f>
        <v>687194767.36000001</v>
      </c>
      <c r="AO37" s="88"/>
      <c r="AP37" s="511"/>
      <c r="AQ37" s="511"/>
      <c r="AR37" s="88"/>
      <c r="AS37" s="181"/>
      <c r="AT37" s="88"/>
      <c r="AU37" s="88"/>
      <c r="AV37" s="616"/>
      <c r="AW37" s="617"/>
      <c r="AX37" s="88"/>
      <c r="AY37" s="88"/>
      <c r="AZ37" s="88"/>
      <c r="BA37" s="88"/>
      <c r="BB37" s="332" t="s">
        <v>989</v>
      </c>
      <c r="BC37" s="953">
        <f>BC36+1</f>
        <v>2030</v>
      </c>
      <c r="BD37" s="691">
        <f>BD36+BF36</f>
        <v>106741048602606.09</v>
      </c>
      <c r="BE37" s="894">
        <f>BE36</f>
        <v>2.5000000000000001E-2</v>
      </c>
      <c r="BF37" s="691">
        <f>BD37*BE37</f>
        <v>2668526215065.1523</v>
      </c>
      <c r="BH37" s="76"/>
      <c r="BI37" s="953">
        <f>BI36+1</f>
        <v>2030</v>
      </c>
      <c r="BJ37" s="691">
        <f>BJ20</f>
        <v>10737418.24</v>
      </c>
      <c r="BK37" s="987">
        <v>64</v>
      </c>
      <c r="BL37" s="875">
        <f t="shared" ref="BL37:BL55" si="16">BK37*BJ37</f>
        <v>687194767.36000001</v>
      </c>
      <c r="BM37" s="977"/>
      <c r="BN37" s="977"/>
      <c r="BO37" s="691">
        <f t="shared" ref="BO37:BO55" si="17">BL37*BM37</f>
        <v>0</v>
      </c>
      <c r="BQ37" s="691">
        <f t="shared" si="7"/>
        <v>0</v>
      </c>
      <c r="BR37" s="691">
        <f>BQ37+BR36-BV37</f>
        <v>16475494547.456001</v>
      </c>
      <c r="BS37" s="894">
        <f t="shared" si="14"/>
        <v>0.125</v>
      </c>
      <c r="BT37" s="975">
        <f t="shared" si="11"/>
        <v>2059436818.4320002</v>
      </c>
      <c r="BU37" s="691">
        <f t="shared" si="13"/>
        <v>1099973598.3590388</v>
      </c>
      <c r="BV37" s="183">
        <f>BL37*BN37</f>
        <v>0</v>
      </c>
      <c r="BW37" s="949">
        <f t="shared" si="10"/>
        <v>2030</v>
      </c>
    </row>
    <row r="38" spans="1:75" x14ac:dyDescent="0.3">
      <c r="A38" s="690"/>
      <c r="B38" s="690"/>
      <c r="C38" s="1121">
        <f>C37*2</f>
        <v>128</v>
      </c>
      <c r="D38" s="875">
        <f t="shared" ref="D38:D43" si="18">D37</f>
        <v>21474836.48</v>
      </c>
      <c r="E38" s="875">
        <f t="shared" si="15"/>
        <v>2748779069.4400001</v>
      </c>
      <c r="F38" s="410"/>
      <c r="G38" s="126" t="s">
        <v>732</v>
      </c>
      <c r="AI38" s="1162" t="s">
        <v>1435</v>
      </c>
      <c r="AJ38" s="1160"/>
      <c r="AK38" s="1160"/>
      <c r="AL38" s="1160"/>
      <c r="AM38" s="1161" t="s">
        <v>1284</v>
      </c>
      <c r="AN38" s="1164">
        <f>'POP Dimensions'!L16</f>
        <v>343597383.68000001</v>
      </c>
      <c r="AO38" s="88"/>
      <c r="AP38" s="88"/>
      <c r="AQ38" s="253"/>
      <c r="AR38" s="88"/>
      <c r="AS38" s="181"/>
      <c r="BB38" s="332" t="s">
        <v>989</v>
      </c>
      <c r="BC38" s="953">
        <f>BC37+1</f>
        <v>2031</v>
      </c>
      <c r="BD38" s="691">
        <f>BD37+BF37</f>
        <v>109409574817671.25</v>
      </c>
      <c r="BE38" s="894">
        <f>BE37</f>
        <v>2.5000000000000001E-2</v>
      </c>
      <c r="BF38" s="691">
        <f>BD38*BE38</f>
        <v>2735239370441.7813</v>
      </c>
      <c r="BH38" s="76"/>
      <c r="BI38" s="953">
        <f t="shared" ref="BI38:BI55" si="19">BI37+1</f>
        <v>2031</v>
      </c>
      <c r="BJ38" s="691">
        <f>BJ20</f>
        <v>10737418.24</v>
      </c>
      <c r="BK38" s="987">
        <v>64</v>
      </c>
      <c r="BL38" s="875">
        <f t="shared" si="16"/>
        <v>687194767.36000001</v>
      </c>
      <c r="BM38" s="977"/>
      <c r="BN38" s="977"/>
      <c r="BO38" s="691">
        <f t="shared" si="17"/>
        <v>0</v>
      </c>
      <c r="BQ38" s="691">
        <f t="shared" si="7"/>
        <v>0</v>
      </c>
      <c r="BR38" s="691">
        <f t="shared" ref="BR38:BR55" si="20">BQ38+BR37-BV38</f>
        <v>16475494547.456001</v>
      </c>
      <c r="BS38" s="894">
        <f t="shared" si="14"/>
        <v>0.125</v>
      </c>
      <c r="BT38" s="975">
        <f t="shared" si="11"/>
        <v>2059436818.4320002</v>
      </c>
      <c r="BU38" s="691">
        <f t="shared" si="13"/>
        <v>1099973598.3590388</v>
      </c>
      <c r="BV38" s="183">
        <f t="shared" ref="BV38:BV55" si="21">BL38*BN38</f>
        <v>0</v>
      </c>
      <c r="BW38" s="949">
        <f t="shared" si="10"/>
        <v>2031</v>
      </c>
    </row>
    <row r="39" spans="1:75" x14ac:dyDescent="0.3">
      <c r="A39" s="690"/>
      <c r="B39" s="690"/>
      <c r="C39" s="1151">
        <f>C38*2</f>
        <v>256</v>
      </c>
      <c r="D39" s="411">
        <f t="shared" si="18"/>
        <v>21474836.48</v>
      </c>
      <c r="E39" s="411">
        <f t="shared" si="15"/>
        <v>5497558138.8800001</v>
      </c>
      <c r="F39" s="896"/>
      <c r="G39" s="902" t="s">
        <v>732</v>
      </c>
      <c r="AI39" s="1163" t="s">
        <v>1436</v>
      </c>
      <c r="AM39" s="1155" t="s">
        <v>1279</v>
      </c>
      <c r="AN39" s="1164">
        <v>-1600000000</v>
      </c>
      <c r="AO39" s="208">
        <v>0.05</v>
      </c>
      <c r="AP39" s="76">
        <f>AN49*AO39</f>
        <v>1576694158.9465361</v>
      </c>
      <c r="AQ39" s="253" t="s">
        <v>1465</v>
      </c>
      <c r="AR39" s="88"/>
      <c r="AS39" s="181"/>
      <c r="AV39" s="616"/>
      <c r="AW39" s="617"/>
      <c r="BB39" s="332" t="s">
        <v>989</v>
      </c>
      <c r="BC39" s="953">
        <f>BC38+1</f>
        <v>2032</v>
      </c>
      <c r="BD39" s="691">
        <f>BD38+BF38</f>
        <v>112144814188113.03</v>
      </c>
      <c r="BE39" s="894">
        <f>BE38</f>
        <v>2.5000000000000001E-2</v>
      </c>
      <c r="BF39" s="691">
        <f>BD39*BE39</f>
        <v>2803620354702.8262</v>
      </c>
      <c r="BG39" s="895" t="s">
        <v>1281</v>
      </c>
      <c r="BH39" s="76"/>
      <c r="BI39" s="953">
        <f t="shared" si="19"/>
        <v>2032</v>
      </c>
      <c r="BJ39" s="691">
        <f t="shared" ref="BJ39:BJ55" si="22">BJ29</f>
        <v>10737418.24</v>
      </c>
      <c r="BK39" s="987">
        <v>64</v>
      </c>
      <c r="BL39" s="875">
        <f t="shared" si="16"/>
        <v>687194767.36000001</v>
      </c>
      <c r="BM39" s="977"/>
      <c r="BN39" s="977"/>
      <c r="BO39" s="691">
        <f t="shared" si="17"/>
        <v>0</v>
      </c>
      <c r="BQ39" s="691">
        <f t="shared" si="7"/>
        <v>0</v>
      </c>
      <c r="BR39" s="691">
        <f t="shared" si="20"/>
        <v>16475494547.456001</v>
      </c>
      <c r="BS39" s="894">
        <f t="shared" si="14"/>
        <v>0.125</v>
      </c>
      <c r="BT39" s="975">
        <f t="shared" si="11"/>
        <v>2059436818.4320002</v>
      </c>
      <c r="BU39" s="691">
        <f t="shared" si="13"/>
        <v>1099973598.3590388</v>
      </c>
      <c r="BV39" s="183">
        <f t="shared" si="21"/>
        <v>0</v>
      </c>
      <c r="BW39" s="949">
        <f t="shared" si="10"/>
        <v>2032</v>
      </c>
    </row>
    <row r="40" spans="1:75" x14ac:dyDescent="0.3">
      <c r="A40" s="690"/>
      <c r="B40" s="690"/>
      <c r="C40" s="1152">
        <f t="shared" ref="C40:C43" si="23">C39*2</f>
        <v>512</v>
      </c>
      <c r="D40" s="897">
        <f t="shared" si="18"/>
        <v>21474836.48</v>
      </c>
      <c r="E40" s="897">
        <f t="shared" si="15"/>
        <v>10995116277.76</v>
      </c>
      <c r="F40" s="874"/>
      <c r="G40" s="903" t="s">
        <v>732</v>
      </c>
      <c r="AM40" s="1156" t="s">
        <v>1277</v>
      </c>
      <c r="AN40" s="1164">
        <v>0</v>
      </c>
      <c r="AO40" s="88"/>
      <c r="AP40" s="253"/>
      <c r="AQ40" s="253"/>
      <c r="AR40" s="253"/>
      <c r="AS40" s="181"/>
      <c r="AV40" s="616"/>
      <c r="AW40" s="617"/>
      <c r="BB40" s="332" t="s">
        <v>989</v>
      </c>
      <c r="BC40" s="953">
        <f t="shared" ref="BC40:BC55" si="24">BC39+1</f>
        <v>2033</v>
      </c>
      <c r="BD40" s="691">
        <f t="shared" ref="BD40:BD55" si="25">BD39+BF39</f>
        <v>114948434542815.86</v>
      </c>
      <c r="BE40" s="894">
        <f t="shared" ref="BE40:BE55" si="26">BE39</f>
        <v>2.5000000000000001E-2</v>
      </c>
      <c r="BF40" s="691">
        <f t="shared" ref="BF40:BF55" si="27">BD40*BE40</f>
        <v>2873710863570.3965</v>
      </c>
      <c r="BH40" s="76"/>
      <c r="BI40" s="953">
        <f t="shared" si="19"/>
        <v>2033</v>
      </c>
      <c r="BJ40" s="691">
        <f t="shared" si="22"/>
        <v>10737418.24</v>
      </c>
      <c r="BK40" s="987">
        <v>64</v>
      </c>
      <c r="BL40" s="875">
        <f t="shared" si="16"/>
        <v>687194767.36000001</v>
      </c>
      <c r="BM40" s="969"/>
      <c r="BN40" s="977"/>
      <c r="BO40" s="691">
        <f t="shared" si="17"/>
        <v>0</v>
      </c>
      <c r="BQ40" s="691">
        <f t="shared" si="7"/>
        <v>0</v>
      </c>
      <c r="BR40" s="691">
        <f t="shared" si="20"/>
        <v>16475494547.456001</v>
      </c>
      <c r="BS40" s="894">
        <f t="shared" si="14"/>
        <v>0.125</v>
      </c>
      <c r="BT40" s="975">
        <f t="shared" si="11"/>
        <v>2059436818.4320002</v>
      </c>
      <c r="BU40" s="691">
        <f t="shared" si="13"/>
        <v>1099973598.3590388</v>
      </c>
      <c r="BV40" s="183">
        <f t="shared" si="21"/>
        <v>0</v>
      </c>
      <c r="BW40" s="949">
        <f t="shared" si="10"/>
        <v>2033</v>
      </c>
    </row>
    <row r="41" spans="1:75" x14ac:dyDescent="0.3">
      <c r="A41" s="690"/>
      <c r="B41" s="690"/>
      <c r="C41" s="1121">
        <f t="shared" si="23"/>
        <v>1024</v>
      </c>
      <c r="D41" s="875">
        <f t="shared" si="18"/>
        <v>21474836.48</v>
      </c>
      <c r="E41" s="875">
        <f t="shared" si="15"/>
        <v>21990232555.52</v>
      </c>
      <c r="F41" s="410"/>
      <c r="G41" s="126" t="s">
        <v>732</v>
      </c>
      <c r="AK41" s="173" t="s">
        <v>1433</v>
      </c>
      <c r="AL41" s="1158"/>
      <c r="AM41" s="1159" t="s">
        <v>1285</v>
      </c>
      <c r="AN41" s="719">
        <f>'POP Dimensions'!H17</f>
        <v>687194767.36000001</v>
      </c>
      <c r="AO41" s="88"/>
      <c r="AP41" s="253"/>
      <c r="AQ41" s="253"/>
      <c r="AR41" s="1215"/>
      <c r="AS41" s="181"/>
      <c r="AV41" s="12" t="s">
        <v>979</v>
      </c>
      <c r="BB41" s="332" t="s">
        <v>989</v>
      </c>
      <c r="BC41" s="953">
        <f t="shared" si="24"/>
        <v>2034</v>
      </c>
      <c r="BD41" s="691">
        <f t="shared" si="25"/>
        <v>117822145406386.25</v>
      </c>
      <c r="BE41" s="894">
        <f t="shared" si="26"/>
        <v>2.5000000000000001E-2</v>
      </c>
      <c r="BF41" s="691">
        <f t="shared" si="27"/>
        <v>2945553635159.6563</v>
      </c>
      <c r="BH41" s="76"/>
      <c r="BI41" s="953">
        <f t="shared" si="19"/>
        <v>2034</v>
      </c>
      <c r="BJ41" s="691">
        <f t="shared" si="22"/>
        <v>10737418.24</v>
      </c>
      <c r="BK41" s="987">
        <v>64</v>
      </c>
      <c r="BL41" s="875">
        <f t="shared" si="16"/>
        <v>687194767.36000001</v>
      </c>
      <c r="BM41" s="969"/>
      <c r="BN41" s="977">
        <v>8</v>
      </c>
      <c r="BO41" s="691">
        <f t="shared" si="17"/>
        <v>0</v>
      </c>
      <c r="BQ41" s="691">
        <f t="shared" si="7"/>
        <v>0</v>
      </c>
      <c r="BR41" s="691">
        <f t="shared" si="20"/>
        <v>10977936408.576</v>
      </c>
      <c r="BS41" s="894">
        <f t="shared" si="14"/>
        <v>0.125</v>
      </c>
      <c r="BT41" s="975">
        <f t="shared" si="11"/>
        <v>1372242051.072</v>
      </c>
      <c r="BU41" s="691">
        <f t="shared" si="13"/>
        <v>1099973598.3590388</v>
      </c>
      <c r="BV41" s="183">
        <f t="shared" si="21"/>
        <v>5497558138.8800001</v>
      </c>
      <c r="BW41" s="949">
        <f t="shared" si="10"/>
        <v>2034</v>
      </c>
    </row>
    <row r="42" spans="1:75" x14ac:dyDescent="0.3">
      <c r="A42" s="690"/>
      <c r="B42" s="690"/>
      <c r="C42" s="1153">
        <f t="shared" si="23"/>
        <v>2048</v>
      </c>
      <c r="D42" s="899">
        <f t="shared" si="18"/>
        <v>21474836.48</v>
      </c>
      <c r="E42" s="899">
        <f t="shared" si="15"/>
        <v>43980465111.040001</v>
      </c>
      <c r="F42" s="898"/>
      <c r="G42" s="905" t="s">
        <v>732</v>
      </c>
      <c r="AK42" s="618" t="s">
        <v>1434</v>
      </c>
      <c r="AM42" s="1155" t="s">
        <v>1278</v>
      </c>
      <c r="AN42" s="1164">
        <f>'Network Cities'!S37</f>
        <v>2943750000.5</v>
      </c>
      <c r="AO42" s="88"/>
      <c r="AP42" s="253"/>
      <c r="AQ42" s="253"/>
      <c r="AR42" s="1215"/>
      <c r="AS42" s="181"/>
      <c r="AV42" s="12"/>
      <c r="BB42" s="332" t="s">
        <v>989</v>
      </c>
      <c r="BC42" s="953">
        <f t="shared" si="24"/>
        <v>2035</v>
      </c>
      <c r="BD42" s="691">
        <f t="shared" si="25"/>
        <v>120767699041545.91</v>
      </c>
      <c r="BE42" s="894">
        <f t="shared" si="26"/>
        <v>2.5000000000000001E-2</v>
      </c>
      <c r="BF42" s="691">
        <f t="shared" si="27"/>
        <v>3019192476038.6479</v>
      </c>
      <c r="BH42" s="76"/>
      <c r="BI42" s="953">
        <f t="shared" si="19"/>
        <v>2035</v>
      </c>
      <c r="BJ42" s="691">
        <f t="shared" si="22"/>
        <v>10737418.24</v>
      </c>
      <c r="BK42" s="987">
        <v>64</v>
      </c>
      <c r="BL42" s="875">
        <f t="shared" si="16"/>
        <v>687194767.36000001</v>
      </c>
      <c r="BM42" s="969"/>
      <c r="BN42" s="977"/>
      <c r="BO42" s="691">
        <f t="shared" si="17"/>
        <v>0</v>
      </c>
      <c r="BQ42" s="691">
        <f t="shared" si="7"/>
        <v>0</v>
      </c>
      <c r="BR42" s="691">
        <f t="shared" si="20"/>
        <v>10977936408.576</v>
      </c>
      <c r="BS42" s="894">
        <f t="shared" si="14"/>
        <v>0.125</v>
      </c>
      <c r="BT42" s="975">
        <f t="shared" si="11"/>
        <v>1372242051.072</v>
      </c>
      <c r="BU42" s="691">
        <f t="shared" si="13"/>
        <v>1099973598.3590388</v>
      </c>
      <c r="BV42" s="183">
        <f t="shared" si="21"/>
        <v>0</v>
      </c>
      <c r="BW42" s="949">
        <f t="shared" si="10"/>
        <v>2035</v>
      </c>
    </row>
    <row r="43" spans="1:75" x14ac:dyDescent="0.3">
      <c r="A43" s="690"/>
      <c r="B43" s="690"/>
      <c r="C43" s="1154">
        <f t="shared" si="23"/>
        <v>4096</v>
      </c>
      <c r="D43" s="906">
        <f t="shared" si="18"/>
        <v>21474836.48</v>
      </c>
      <c r="E43" s="906">
        <f t="shared" si="15"/>
        <v>87960930222.080002</v>
      </c>
      <c r="F43" s="907"/>
      <c r="G43" s="908" t="s">
        <v>732</v>
      </c>
      <c r="AM43" s="1155" t="s">
        <v>1161</v>
      </c>
      <c r="AN43" s="1164">
        <f>'POP Dimensions'!H17</f>
        <v>687194767.36000001</v>
      </c>
      <c r="AO43" s="88"/>
      <c r="AP43" s="600"/>
      <c r="AQ43" s="253"/>
      <c r="AR43" s="253"/>
      <c r="AS43" s="181"/>
      <c r="AV43" s="12"/>
      <c r="BB43" s="332" t="s">
        <v>989</v>
      </c>
      <c r="BC43" s="953">
        <f t="shared" si="24"/>
        <v>2036</v>
      </c>
      <c r="BD43" s="691">
        <f t="shared" si="25"/>
        <v>123786891517584.55</v>
      </c>
      <c r="BE43" s="894">
        <f t="shared" si="26"/>
        <v>2.5000000000000001E-2</v>
      </c>
      <c r="BF43" s="691">
        <f t="shared" si="27"/>
        <v>3094672287939.6138</v>
      </c>
      <c r="BH43" s="76"/>
      <c r="BI43" s="953">
        <f t="shared" si="19"/>
        <v>2036</v>
      </c>
      <c r="BJ43" s="691">
        <f t="shared" si="22"/>
        <v>10737418.24</v>
      </c>
      <c r="BK43" s="987">
        <v>64</v>
      </c>
      <c r="BL43" s="875">
        <f t="shared" si="16"/>
        <v>687194767.36000001</v>
      </c>
      <c r="BM43" s="969"/>
      <c r="BN43" s="977"/>
      <c r="BO43" s="691">
        <f t="shared" si="17"/>
        <v>0</v>
      </c>
      <c r="BQ43" s="691">
        <f t="shared" si="7"/>
        <v>0</v>
      </c>
      <c r="BR43" s="691">
        <f t="shared" si="20"/>
        <v>10977936408.576</v>
      </c>
      <c r="BS43" s="894">
        <f t="shared" si="14"/>
        <v>0.125</v>
      </c>
      <c r="BT43" s="975">
        <f t="shared" si="11"/>
        <v>1372242051.072</v>
      </c>
      <c r="BU43" s="691">
        <f t="shared" si="13"/>
        <v>1099973598.3590388</v>
      </c>
      <c r="BV43" s="183">
        <f t="shared" si="21"/>
        <v>0</v>
      </c>
      <c r="BW43" s="949">
        <f t="shared" si="10"/>
        <v>2036</v>
      </c>
    </row>
    <row r="44" spans="1:75" x14ac:dyDescent="0.3">
      <c r="A44" s="690"/>
      <c r="B44" s="690"/>
      <c r="AK44" s="1162" t="s">
        <v>1433</v>
      </c>
      <c r="AL44" s="1160"/>
      <c r="AM44" s="1161" t="s">
        <v>1249</v>
      </c>
      <c r="AN44" s="1164">
        <f>'POP Dimensions'!J17</f>
        <v>1374389534.72</v>
      </c>
      <c r="AO44" s="88"/>
      <c r="AP44" s="253"/>
      <c r="AQ44" s="254"/>
      <c r="AR44" s="253"/>
      <c r="AS44" s="181"/>
      <c r="AV44" s="12"/>
      <c r="BB44" s="332" t="s">
        <v>989</v>
      </c>
      <c r="BC44" s="953">
        <f t="shared" si="24"/>
        <v>2037</v>
      </c>
      <c r="BD44" s="691">
        <f t="shared" si="25"/>
        <v>126881563805524.16</v>
      </c>
      <c r="BE44" s="894">
        <f t="shared" si="26"/>
        <v>2.5000000000000001E-2</v>
      </c>
      <c r="BF44" s="691">
        <f t="shared" si="27"/>
        <v>3172039095138.104</v>
      </c>
      <c r="BH44" s="76"/>
      <c r="BI44" s="953">
        <f t="shared" si="19"/>
        <v>2037</v>
      </c>
      <c r="BJ44" s="691">
        <f t="shared" si="22"/>
        <v>10737418.24</v>
      </c>
      <c r="BK44" s="987">
        <v>64</v>
      </c>
      <c r="BL44" s="875">
        <f t="shared" si="16"/>
        <v>687194767.36000001</v>
      </c>
      <c r="BM44" s="969"/>
      <c r="BN44" s="977"/>
      <c r="BO44" s="691">
        <f t="shared" si="17"/>
        <v>0</v>
      </c>
      <c r="BQ44" s="691">
        <f t="shared" si="7"/>
        <v>0</v>
      </c>
      <c r="BR44" s="691">
        <f t="shared" si="20"/>
        <v>10977936408.576</v>
      </c>
      <c r="BS44" s="894">
        <f t="shared" si="14"/>
        <v>0.125</v>
      </c>
      <c r="BT44" s="975">
        <f t="shared" si="11"/>
        <v>1372242051.072</v>
      </c>
      <c r="BU44" s="691">
        <f t="shared" si="13"/>
        <v>1099973598.3590388</v>
      </c>
      <c r="BV44" s="183">
        <f t="shared" si="21"/>
        <v>0</v>
      </c>
      <c r="BW44" s="949">
        <f t="shared" si="10"/>
        <v>2037</v>
      </c>
    </row>
    <row r="45" spans="1:75" x14ac:dyDescent="0.3">
      <c r="A45" s="690"/>
      <c r="B45" s="690"/>
      <c r="AK45" s="1163" t="s">
        <v>1437</v>
      </c>
      <c r="AM45" s="1157" t="s">
        <v>148</v>
      </c>
      <c r="AN45" s="1164">
        <v>0</v>
      </c>
      <c r="AO45" s="88"/>
      <c r="AP45" s="254"/>
      <c r="AQ45" s="254"/>
      <c r="AR45" s="253"/>
      <c r="AS45" s="181"/>
      <c r="AV45" s="12"/>
      <c r="BB45" s="332" t="s">
        <v>989</v>
      </c>
      <c r="BC45" s="953">
        <f t="shared" si="24"/>
        <v>2038</v>
      </c>
      <c r="BD45" s="691">
        <f t="shared" si="25"/>
        <v>130053602900662.27</v>
      </c>
      <c r="BE45" s="894">
        <f t="shared" si="26"/>
        <v>2.5000000000000001E-2</v>
      </c>
      <c r="BF45" s="691">
        <f t="shared" si="27"/>
        <v>3251340072516.5566</v>
      </c>
      <c r="BH45" s="76"/>
      <c r="BI45" s="953">
        <f t="shared" si="19"/>
        <v>2038</v>
      </c>
      <c r="BJ45" s="691">
        <f t="shared" si="22"/>
        <v>10737418.24</v>
      </c>
      <c r="BK45" s="987">
        <v>64</v>
      </c>
      <c r="BL45" s="875">
        <f t="shared" si="16"/>
        <v>687194767.36000001</v>
      </c>
      <c r="BM45" s="969"/>
      <c r="BN45" s="977">
        <v>8</v>
      </c>
      <c r="BO45" s="691">
        <f t="shared" si="17"/>
        <v>0</v>
      </c>
      <c r="BQ45" s="691">
        <f t="shared" si="7"/>
        <v>0</v>
      </c>
      <c r="BR45" s="691">
        <f t="shared" si="20"/>
        <v>5480378269.6960001</v>
      </c>
      <c r="BS45" s="894">
        <f t="shared" si="14"/>
        <v>0.125</v>
      </c>
      <c r="BT45" s="975">
        <f t="shared" si="11"/>
        <v>685047283.71200001</v>
      </c>
      <c r="BU45" s="691">
        <f t="shared" si="13"/>
        <v>1099973598.3590388</v>
      </c>
      <c r="BV45" s="183">
        <f t="shared" si="21"/>
        <v>5497558138.8800001</v>
      </c>
      <c r="BW45" s="949">
        <f t="shared" si="10"/>
        <v>2038</v>
      </c>
    </row>
    <row r="46" spans="1:75" x14ac:dyDescent="0.3">
      <c r="A46" s="690"/>
      <c r="B46" s="690"/>
      <c r="AM46" s="1150" t="s">
        <v>948</v>
      </c>
      <c r="AN46" s="1216">
        <f>'2026 - ŔÉŚ 3 S-World VS and VSN'!AT29</f>
        <v>2075221853.30968</v>
      </c>
      <c r="AO46" s="88"/>
      <c r="AP46" s="253"/>
      <c r="AQ46" s="253"/>
      <c r="AR46" s="253"/>
      <c r="AS46" s="181" t="s">
        <v>805</v>
      </c>
      <c r="AT46" s="1" t="s">
        <v>998</v>
      </c>
      <c r="AV46" s="19">
        <v>0.01</v>
      </c>
      <c r="BB46" s="332" t="s">
        <v>989</v>
      </c>
      <c r="BC46" s="953">
        <f t="shared" si="24"/>
        <v>2039</v>
      </c>
      <c r="BD46" s="691">
        <f t="shared" si="25"/>
        <v>133304942973178.83</v>
      </c>
      <c r="BE46" s="894">
        <f t="shared" si="26"/>
        <v>2.5000000000000001E-2</v>
      </c>
      <c r="BF46" s="691">
        <f t="shared" si="27"/>
        <v>3332623574329.4707</v>
      </c>
      <c r="BH46" s="76"/>
      <c r="BI46" s="953">
        <f t="shared" si="19"/>
        <v>2039</v>
      </c>
      <c r="BJ46" s="691">
        <f t="shared" si="22"/>
        <v>10737418.24</v>
      </c>
      <c r="BK46" s="987">
        <v>64</v>
      </c>
      <c r="BL46" s="875">
        <f t="shared" si="16"/>
        <v>687194767.36000001</v>
      </c>
      <c r="BM46" s="969"/>
      <c r="BN46" s="977"/>
      <c r="BO46" s="691">
        <f t="shared" si="17"/>
        <v>0</v>
      </c>
      <c r="BQ46" s="691">
        <f t="shared" si="7"/>
        <v>0</v>
      </c>
      <c r="BR46" s="691">
        <f t="shared" si="20"/>
        <v>5480378269.6960001</v>
      </c>
      <c r="BS46" s="894">
        <f t="shared" si="14"/>
        <v>0.125</v>
      </c>
      <c r="BT46" s="975">
        <f t="shared" si="11"/>
        <v>685047283.71200001</v>
      </c>
      <c r="BU46" s="691">
        <f t="shared" si="13"/>
        <v>1099973598.3590388</v>
      </c>
      <c r="BV46" s="183">
        <f t="shared" si="21"/>
        <v>0</v>
      </c>
      <c r="BW46" s="949">
        <f t="shared" si="10"/>
        <v>2039</v>
      </c>
    </row>
    <row r="47" spans="1:75" x14ac:dyDescent="0.3">
      <c r="K47" s="690"/>
      <c r="AM47" s="122" t="s">
        <v>1385</v>
      </c>
      <c r="AN47" s="183">
        <f>SUM(AN35:AN46)</f>
        <v>7542140457.9696798</v>
      </c>
      <c r="AO47" s="251"/>
      <c r="AP47" s="76" t="s">
        <v>805</v>
      </c>
      <c r="AQ47" s="691">
        <f>AE82</f>
        <v>6630548568.2489748</v>
      </c>
      <c r="AR47" s="76"/>
      <c r="AS47" s="691">
        <f>AQ47</f>
        <v>6630548568.2489748</v>
      </c>
      <c r="AT47" s="691">
        <f>BD31</f>
        <v>92042471679365.094</v>
      </c>
      <c r="AU47" s="76"/>
      <c r="AV47" s="736">
        <f>AT47*AV46</f>
        <v>920424716793.651</v>
      </c>
      <c r="AW47" s="76"/>
      <c r="AX47" s="208">
        <f>AV47/AS60</f>
        <v>24.117343679869393</v>
      </c>
      <c r="AY47" s="76"/>
      <c r="AZ47" s="76"/>
      <c r="BA47" s="76"/>
      <c r="BB47" s="332" t="s">
        <v>989</v>
      </c>
      <c r="BC47" s="953">
        <f t="shared" si="24"/>
        <v>2040</v>
      </c>
      <c r="BD47" s="691">
        <f t="shared" si="25"/>
        <v>136637566547508.3</v>
      </c>
      <c r="BE47" s="894">
        <f t="shared" si="26"/>
        <v>2.5000000000000001E-2</v>
      </c>
      <c r="BF47" s="691">
        <f t="shared" si="27"/>
        <v>3415939163687.7075</v>
      </c>
      <c r="BH47" s="76"/>
      <c r="BI47" s="953">
        <f t="shared" si="19"/>
        <v>2040</v>
      </c>
      <c r="BJ47" s="691">
        <f t="shared" si="22"/>
        <v>10737418.24</v>
      </c>
      <c r="BK47" s="987">
        <v>64</v>
      </c>
      <c r="BL47" s="875">
        <f t="shared" si="16"/>
        <v>687194767.36000001</v>
      </c>
      <c r="BM47" s="969"/>
      <c r="BN47" s="977"/>
      <c r="BO47" s="691">
        <f t="shared" si="17"/>
        <v>0</v>
      </c>
      <c r="BQ47" s="691">
        <f t="shared" si="7"/>
        <v>0</v>
      </c>
      <c r="BR47" s="691">
        <f t="shared" si="20"/>
        <v>5480378269.6960001</v>
      </c>
      <c r="BS47" s="894">
        <f t="shared" si="14"/>
        <v>0.125</v>
      </c>
      <c r="BT47" s="975">
        <f t="shared" si="11"/>
        <v>685047283.71200001</v>
      </c>
      <c r="BU47" s="691">
        <f t="shared" si="13"/>
        <v>1099973598.3590388</v>
      </c>
      <c r="BV47" s="183">
        <f t="shared" si="21"/>
        <v>0</v>
      </c>
      <c r="BW47" s="949">
        <f t="shared" si="10"/>
        <v>2040</v>
      </c>
    </row>
    <row r="48" spans="1:75" ht="16.2" thickBot="1" x14ac:dyDescent="0.35">
      <c r="AM48" s="1150" t="s">
        <v>309</v>
      </c>
      <c r="AN48" s="182">
        <f>AN47*AN34</f>
        <v>47660902889.727966</v>
      </c>
      <c r="AR48" s="565" t="s">
        <v>894</v>
      </c>
      <c r="AS48" s="208">
        <f>AS32/AS47</f>
        <v>4.7558483064182315</v>
      </c>
      <c r="AT48" s="367"/>
      <c r="AV48" s="192">
        <f>AS60</f>
        <v>38164431747.179695</v>
      </c>
      <c r="AW48" s="193"/>
      <c r="AX48" s="1" t="s">
        <v>1339</v>
      </c>
      <c r="BB48" s="332" t="s">
        <v>989</v>
      </c>
      <c r="BC48" s="953">
        <f t="shared" si="24"/>
        <v>2041</v>
      </c>
      <c r="BD48" s="691">
        <f t="shared" si="25"/>
        <v>140053505711196</v>
      </c>
      <c r="BE48" s="894">
        <f t="shared" si="26"/>
        <v>2.5000000000000001E-2</v>
      </c>
      <c r="BF48" s="691">
        <f t="shared" si="27"/>
        <v>3501337642779.9004</v>
      </c>
      <c r="BH48" s="76"/>
      <c r="BI48" s="953">
        <f t="shared" si="19"/>
        <v>2041</v>
      </c>
      <c r="BJ48" s="691">
        <f t="shared" si="22"/>
        <v>10737418.24</v>
      </c>
      <c r="BK48" s="987">
        <v>64</v>
      </c>
      <c r="BL48" s="875">
        <f t="shared" si="16"/>
        <v>687194767.36000001</v>
      </c>
      <c r="BM48" s="969"/>
      <c r="BN48" s="977"/>
      <c r="BO48" s="691">
        <f t="shared" si="17"/>
        <v>0</v>
      </c>
      <c r="BQ48" s="691">
        <f t="shared" si="7"/>
        <v>0</v>
      </c>
      <c r="BR48" s="691">
        <f t="shared" si="20"/>
        <v>5480378269.6960001</v>
      </c>
      <c r="BS48" s="894">
        <f t="shared" si="14"/>
        <v>0.125</v>
      </c>
      <c r="BT48" s="975">
        <f t="shared" si="11"/>
        <v>685047283.71200001</v>
      </c>
      <c r="BU48" s="691">
        <f t="shared" si="13"/>
        <v>1099973598.3590388</v>
      </c>
      <c r="BV48" s="183">
        <f t="shared" si="21"/>
        <v>0</v>
      </c>
      <c r="BW48" s="949">
        <f t="shared" si="10"/>
        <v>2041</v>
      </c>
    </row>
    <row r="49" spans="3:75" ht="16.2" thickBot="1" x14ac:dyDescent="0.35">
      <c r="C49" s="1" t="s">
        <v>801</v>
      </c>
      <c r="AM49" s="1150" t="s">
        <v>308</v>
      </c>
      <c r="AN49" s="182">
        <f>AN48*AO49</f>
        <v>31533883178.930717</v>
      </c>
      <c r="AO49" s="680">
        <v>0.66163000000000005</v>
      </c>
      <c r="AP49" s="1" t="s">
        <v>1275</v>
      </c>
      <c r="AR49" s="565" t="s">
        <v>888</v>
      </c>
      <c r="AS49" s="953">
        <v>8</v>
      </c>
      <c r="AT49" s="1" t="s">
        <v>889</v>
      </c>
      <c r="AX49" s="1" t="s">
        <v>1340</v>
      </c>
      <c r="BB49" s="332" t="s">
        <v>989</v>
      </c>
      <c r="BC49" s="953">
        <f t="shared" si="24"/>
        <v>2042</v>
      </c>
      <c r="BD49" s="691">
        <f t="shared" si="25"/>
        <v>143554843353975.91</v>
      </c>
      <c r="BE49" s="894">
        <f t="shared" si="26"/>
        <v>2.5000000000000001E-2</v>
      </c>
      <c r="BF49" s="691">
        <f t="shared" si="27"/>
        <v>3588871083849.3979</v>
      </c>
      <c r="BH49" s="76"/>
      <c r="BI49" s="953">
        <f t="shared" si="19"/>
        <v>2042</v>
      </c>
      <c r="BJ49" s="691">
        <f t="shared" si="22"/>
        <v>10737418.24</v>
      </c>
      <c r="BK49" s="987">
        <v>64</v>
      </c>
      <c r="BL49" s="875">
        <f t="shared" si="16"/>
        <v>687194767.36000001</v>
      </c>
      <c r="BM49" s="969"/>
      <c r="BN49" s="977">
        <v>8</v>
      </c>
      <c r="BO49" s="691">
        <f t="shared" si="17"/>
        <v>0</v>
      </c>
      <c r="BQ49" s="691">
        <f t="shared" si="7"/>
        <v>0</v>
      </c>
      <c r="BR49" s="691">
        <f t="shared" si="20"/>
        <v>-17179869.184000015</v>
      </c>
      <c r="BS49" s="894">
        <f t="shared" si="14"/>
        <v>0.125</v>
      </c>
      <c r="BT49" s="975">
        <f t="shared" si="11"/>
        <v>-2147483.6480000019</v>
      </c>
      <c r="BU49" s="691">
        <f t="shared" si="13"/>
        <v>1099973598.3590388</v>
      </c>
      <c r="BV49" s="183">
        <f t="shared" si="21"/>
        <v>5497558138.8800001</v>
      </c>
      <c r="BW49" s="949">
        <f t="shared" si="10"/>
        <v>2042</v>
      </c>
    </row>
    <row r="50" spans="3:75" x14ac:dyDescent="0.3">
      <c r="C50" s="13"/>
      <c r="D50" s="4"/>
      <c r="E50" s="120" t="s">
        <v>275</v>
      </c>
      <c r="F50" s="4"/>
      <c r="G50" s="173" t="s">
        <v>288</v>
      </c>
      <c r="H50" s="462" t="s">
        <v>1367</v>
      </c>
      <c r="I50" s="170" t="s">
        <v>1373</v>
      </c>
      <c r="J50" s="175" t="s">
        <v>297</v>
      </c>
      <c r="K50" s="170" t="s">
        <v>802</v>
      </c>
      <c r="AN50" s="239"/>
      <c r="AP50" s="1" t="s">
        <v>1276</v>
      </c>
      <c r="AR50" s="565" t="s">
        <v>890</v>
      </c>
      <c r="AS50" s="208">
        <f>AS48/AS49</f>
        <v>0.59448103830227894</v>
      </c>
      <c r="BB50" s="332" t="s">
        <v>989</v>
      </c>
      <c r="BC50" s="953">
        <f t="shared" si="24"/>
        <v>2043</v>
      </c>
      <c r="BD50" s="691">
        <f t="shared" si="25"/>
        <v>147143714437825.31</v>
      </c>
      <c r="BE50" s="894">
        <f t="shared" si="26"/>
        <v>2.5000000000000001E-2</v>
      </c>
      <c r="BF50" s="691">
        <f t="shared" si="27"/>
        <v>3678592860945.6328</v>
      </c>
      <c r="BH50" s="76"/>
      <c r="BI50" s="953">
        <f t="shared" si="19"/>
        <v>2043</v>
      </c>
      <c r="BJ50" s="691">
        <f t="shared" si="22"/>
        <v>10737418.24</v>
      </c>
      <c r="BK50" s="987">
        <v>64</v>
      </c>
      <c r="BL50" s="875">
        <f t="shared" si="16"/>
        <v>687194767.36000001</v>
      </c>
      <c r="BM50" s="969"/>
      <c r="BN50" s="977"/>
      <c r="BO50" s="691">
        <f t="shared" si="17"/>
        <v>0</v>
      </c>
      <c r="BQ50" s="691">
        <f t="shared" si="7"/>
        <v>0</v>
      </c>
      <c r="BR50" s="691">
        <f t="shared" si="20"/>
        <v>-17179869.184000015</v>
      </c>
      <c r="BS50" s="894">
        <f t="shared" si="14"/>
        <v>0.125</v>
      </c>
      <c r="BT50" s="975">
        <f t="shared" si="11"/>
        <v>-2147483.6480000019</v>
      </c>
      <c r="BU50" s="691">
        <f t="shared" si="13"/>
        <v>1099973598.3590388</v>
      </c>
      <c r="BV50" s="183">
        <f t="shared" si="21"/>
        <v>0</v>
      </c>
      <c r="BW50" s="949">
        <f t="shared" si="10"/>
        <v>2043</v>
      </c>
    </row>
    <row r="51" spans="3:75" x14ac:dyDescent="0.3">
      <c r="C51" s="122"/>
      <c r="D51" s="7"/>
      <c r="E51" s="875">
        <f>E8</f>
        <v>7542140457.9696798</v>
      </c>
      <c r="F51" s="7"/>
      <c r="G51" s="468" t="s">
        <v>1386</v>
      </c>
      <c r="H51" s="469"/>
      <c r="I51" s="470"/>
      <c r="J51" s="471"/>
      <c r="K51" s="470"/>
      <c r="AN51" s="277" t="s">
        <v>748</v>
      </c>
      <c r="AR51" s="239"/>
      <c r="AS51" s="76"/>
      <c r="BB51" s="332" t="s">
        <v>989</v>
      </c>
      <c r="BC51" s="953">
        <f t="shared" si="24"/>
        <v>2044</v>
      </c>
      <c r="BD51" s="691">
        <f t="shared" si="25"/>
        <v>150822307298770.94</v>
      </c>
      <c r="BE51" s="894">
        <f t="shared" si="26"/>
        <v>2.5000000000000001E-2</v>
      </c>
      <c r="BF51" s="691">
        <f t="shared" si="27"/>
        <v>3770557682469.2734</v>
      </c>
      <c r="BH51" s="76"/>
      <c r="BI51" s="953">
        <f t="shared" si="19"/>
        <v>2044</v>
      </c>
      <c r="BJ51" s="691">
        <f t="shared" si="22"/>
        <v>10737418.24</v>
      </c>
      <c r="BK51" s="987">
        <v>64</v>
      </c>
      <c r="BL51" s="875">
        <f t="shared" si="16"/>
        <v>687194767.36000001</v>
      </c>
      <c r="BM51" s="969"/>
      <c r="BN51" s="977"/>
      <c r="BO51" s="691">
        <f t="shared" si="17"/>
        <v>0</v>
      </c>
      <c r="BQ51" s="691">
        <f t="shared" si="7"/>
        <v>0</v>
      </c>
      <c r="BR51" s="691">
        <f t="shared" si="20"/>
        <v>-17179869.184000015</v>
      </c>
      <c r="BS51" s="894">
        <f t="shared" si="14"/>
        <v>0.125</v>
      </c>
      <c r="BT51" s="975">
        <f t="shared" si="11"/>
        <v>-2147483.6480000019</v>
      </c>
      <c r="BU51" s="691">
        <f t="shared" si="13"/>
        <v>1099973598.3590388</v>
      </c>
      <c r="BV51" s="183">
        <f t="shared" si="21"/>
        <v>0</v>
      </c>
      <c r="BW51" s="949">
        <f t="shared" si="10"/>
        <v>2044</v>
      </c>
    </row>
    <row r="52" spans="3:75" ht="16.2" thickBot="1" x14ac:dyDescent="0.35">
      <c r="C52" s="122"/>
      <c r="D52" s="7"/>
      <c r="E52" s="7"/>
      <c r="F52" s="127"/>
      <c r="G52" s="127" t="s">
        <v>280</v>
      </c>
      <c r="H52" s="7"/>
      <c r="I52" s="459" t="s">
        <v>282</v>
      </c>
      <c r="J52" s="122"/>
      <c r="K52" s="8"/>
      <c r="AN52" s="277" t="s">
        <v>747</v>
      </c>
      <c r="AP52" s="110" t="s">
        <v>746</v>
      </c>
      <c r="AR52" s="565" t="s">
        <v>891</v>
      </c>
      <c r="AS52" s="76"/>
      <c r="BB52" s="332" t="s">
        <v>989</v>
      </c>
      <c r="BC52" s="953">
        <f t="shared" si="24"/>
        <v>2045</v>
      </c>
      <c r="BD52" s="691">
        <f t="shared" si="25"/>
        <v>154592864981240.22</v>
      </c>
      <c r="BE52" s="894">
        <f t="shared" si="26"/>
        <v>2.5000000000000001E-2</v>
      </c>
      <c r="BF52" s="691">
        <f t="shared" si="27"/>
        <v>3864821624531.0059</v>
      </c>
      <c r="BH52" s="76"/>
      <c r="BI52" s="953">
        <f t="shared" si="19"/>
        <v>2045</v>
      </c>
      <c r="BJ52" s="691">
        <f t="shared" si="22"/>
        <v>10737418.24</v>
      </c>
      <c r="BK52" s="987">
        <v>64</v>
      </c>
      <c r="BL52" s="875">
        <f t="shared" si="16"/>
        <v>687194767.36000001</v>
      </c>
      <c r="BM52" s="969"/>
      <c r="BN52" s="977"/>
      <c r="BO52" s="691">
        <f t="shared" si="17"/>
        <v>0</v>
      </c>
      <c r="BQ52" s="691">
        <f t="shared" si="7"/>
        <v>0</v>
      </c>
      <c r="BR52" s="691">
        <f t="shared" si="20"/>
        <v>-17179869.184000015</v>
      </c>
      <c r="BS52" s="894">
        <f t="shared" si="14"/>
        <v>0.125</v>
      </c>
      <c r="BT52" s="975">
        <f t="shared" si="11"/>
        <v>-2147483.6480000019</v>
      </c>
      <c r="BU52" s="691">
        <f t="shared" si="13"/>
        <v>1099973598.3590388</v>
      </c>
      <c r="BV52" s="183">
        <f t="shared" si="21"/>
        <v>0</v>
      </c>
      <c r="BW52" s="949">
        <f t="shared" si="10"/>
        <v>2045</v>
      </c>
    </row>
    <row r="53" spans="3:75" ht="16.2" thickBot="1" x14ac:dyDescent="0.35">
      <c r="C53" s="122"/>
      <c r="D53" s="7"/>
      <c r="E53" s="7"/>
      <c r="F53" s="129">
        <v>0.25</v>
      </c>
      <c r="G53" s="130">
        <f>E57*F53</f>
        <v>104791817.44571152</v>
      </c>
      <c r="H53" s="460">
        <v>0.5</v>
      </c>
      <c r="I53" s="130">
        <f>G53*H53</f>
        <v>52395908.722855762</v>
      </c>
      <c r="J53" s="460">
        <v>0</v>
      </c>
      <c r="K53" s="458">
        <f>I53*J53</f>
        <v>0</v>
      </c>
      <c r="AL53" s="933">
        <f>AO53</f>
        <v>512</v>
      </c>
      <c r="AM53" s="927" t="s">
        <v>745</v>
      </c>
      <c r="AN53" s="578">
        <f>AP53*AO53</f>
        <v>10995116277.76</v>
      </c>
      <c r="AO53" s="934">
        <v>512</v>
      </c>
      <c r="AP53" s="578">
        <f>'POP Dimensions'!J15</f>
        <v>21474836.48</v>
      </c>
      <c r="AQ53" s="239"/>
      <c r="AR53" s="565" t="s">
        <v>901</v>
      </c>
      <c r="AS53" s="484">
        <v>0.17</v>
      </c>
      <c r="AT53" s="1" t="s">
        <v>895</v>
      </c>
      <c r="BB53" s="332" t="s">
        <v>989</v>
      </c>
      <c r="BC53" s="953">
        <f t="shared" si="24"/>
        <v>2046</v>
      </c>
      <c r="BD53" s="691">
        <f t="shared" si="25"/>
        <v>158457686605771.22</v>
      </c>
      <c r="BE53" s="894">
        <f t="shared" si="26"/>
        <v>2.5000000000000001E-2</v>
      </c>
      <c r="BF53" s="691">
        <f t="shared" si="27"/>
        <v>3961442165144.2808</v>
      </c>
      <c r="BH53" s="76"/>
      <c r="BI53" s="953">
        <f t="shared" si="19"/>
        <v>2046</v>
      </c>
      <c r="BJ53" s="691">
        <f t="shared" si="22"/>
        <v>10737418.24</v>
      </c>
      <c r="BK53" s="987">
        <v>64</v>
      </c>
      <c r="BL53" s="875">
        <f t="shared" si="16"/>
        <v>687194767.36000001</v>
      </c>
      <c r="BM53" s="969"/>
      <c r="BN53" s="977"/>
      <c r="BO53" s="691">
        <f t="shared" si="17"/>
        <v>0</v>
      </c>
      <c r="BQ53" s="691">
        <f t="shared" si="7"/>
        <v>0</v>
      </c>
      <c r="BR53" s="691">
        <f t="shared" si="20"/>
        <v>-17179869.184000015</v>
      </c>
      <c r="BS53" s="894">
        <f t="shared" si="14"/>
        <v>0.125</v>
      </c>
      <c r="BT53" s="975">
        <f t="shared" si="11"/>
        <v>-2147483.6480000019</v>
      </c>
      <c r="BU53" s="691">
        <f t="shared" si="13"/>
        <v>1099973598.3590388</v>
      </c>
      <c r="BV53" s="183">
        <f t="shared" si="21"/>
        <v>0</v>
      </c>
      <c r="BW53" s="949">
        <f t="shared" si="10"/>
        <v>2046</v>
      </c>
    </row>
    <row r="54" spans="3:75" ht="16.2" thickBot="1" x14ac:dyDescent="0.35">
      <c r="C54" s="122"/>
      <c r="D54" s="7"/>
      <c r="E54" s="7"/>
      <c r="F54" s="133"/>
      <c r="G54" s="134" t="s">
        <v>290</v>
      </c>
      <c r="H54" s="7"/>
      <c r="I54" s="457" t="s">
        <v>283</v>
      </c>
      <c r="J54" s="122"/>
      <c r="K54" s="8"/>
      <c r="AL54" s="927"/>
      <c r="AN54" s="999" t="s">
        <v>1355</v>
      </c>
      <c r="AO54" s="254"/>
      <c r="AP54" s="248" t="s">
        <v>1290</v>
      </c>
      <c r="AR54" s="566"/>
      <c r="AS54" s="76"/>
      <c r="BB54" s="332" t="s">
        <v>989</v>
      </c>
      <c r="BC54" s="953">
        <f t="shared" si="24"/>
        <v>2047</v>
      </c>
      <c r="BD54" s="691">
        <f t="shared" si="25"/>
        <v>162419128770915.5</v>
      </c>
      <c r="BE54" s="894">
        <f t="shared" si="26"/>
        <v>2.5000000000000001E-2</v>
      </c>
      <c r="BF54" s="691">
        <f t="shared" si="27"/>
        <v>4060478219272.8877</v>
      </c>
      <c r="BH54" s="76"/>
      <c r="BI54" s="953">
        <f t="shared" si="19"/>
        <v>2047</v>
      </c>
      <c r="BJ54" s="691">
        <f t="shared" si="22"/>
        <v>10737418.24</v>
      </c>
      <c r="BK54" s="987">
        <v>64</v>
      </c>
      <c r="BL54" s="875">
        <f t="shared" si="16"/>
        <v>687194767.36000001</v>
      </c>
      <c r="BM54" s="969"/>
      <c r="BN54" s="977"/>
      <c r="BO54" s="691">
        <f t="shared" si="17"/>
        <v>0</v>
      </c>
      <c r="BQ54" s="691">
        <f t="shared" si="7"/>
        <v>0</v>
      </c>
      <c r="BR54" s="691">
        <f t="shared" si="20"/>
        <v>-17179869.184000015</v>
      </c>
      <c r="BS54" s="894">
        <f t="shared" si="14"/>
        <v>0.125</v>
      </c>
      <c r="BT54" s="975">
        <f t="shared" si="11"/>
        <v>-2147483.6480000019</v>
      </c>
      <c r="BU54" s="691">
        <f t="shared" si="13"/>
        <v>1099973598.3590388</v>
      </c>
      <c r="BV54" s="183">
        <f t="shared" si="21"/>
        <v>0</v>
      </c>
      <c r="BW54" s="949">
        <f t="shared" si="10"/>
        <v>2047</v>
      </c>
    </row>
    <row r="55" spans="3:75" ht="16.2" thickBot="1" x14ac:dyDescent="0.35">
      <c r="C55" s="122"/>
      <c r="D55" s="7"/>
      <c r="E55" s="7"/>
      <c r="F55" s="133">
        <v>0.25</v>
      </c>
      <c r="G55" s="135">
        <f>E57*F55</f>
        <v>104791817.44571152</v>
      </c>
      <c r="H55" s="461">
        <v>0.9</v>
      </c>
      <c r="I55" s="135">
        <f>G55*H55</f>
        <v>94312635.701140374</v>
      </c>
      <c r="J55" s="461">
        <v>0</v>
      </c>
      <c r="K55" s="440">
        <f>I55*J55</f>
        <v>0</v>
      </c>
      <c r="AL55" s="239"/>
      <c r="AN55" s="1002" t="s">
        <v>867</v>
      </c>
      <c r="AO55" s="254"/>
      <c r="AP55" s="253"/>
      <c r="AR55" s="239"/>
      <c r="AS55" s="484">
        <v>0.17</v>
      </c>
      <c r="AT55" s="32">
        <f>AS55</f>
        <v>0.17</v>
      </c>
      <c r="BB55" s="332" t="s">
        <v>989</v>
      </c>
      <c r="BC55" s="953">
        <f t="shared" si="24"/>
        <v>2048</v>
      </c>
      <c r="BD55" s="691">
        <f t="shared" si="25"/>
        <v>166479606990188.38</v>
      </c>
      <c r="BE55" s="894">
        <f t="shared" si="26"/>
        <v>2.5000000000000001E-2</v>
      </c>
      <c r="BF55" s="691">
        <f t="shared" si="27"/>
        <v>4161990174754.7095</v>
      </c>
      <c r="BG55" s="895" t="s">
        <v>1280</v>
      </c>
      <c r="BH55" s="76"/>
      <c r="BI55" s="953">
        <f t="shared" si="19"/>
        <v>2048</v>
      </c>
      <c r="BJ55" s="691">
        <f t="shared" si="22"/>
        <v>10737418.24</v>
      </c>
      <c r="BK55" s="987">
        <v>64</v>
      </c>
      <c r="BL55" s="875">
        <f t="shared" si="16"/>
        <v>687194767.36000001</v>
      </c>
      <c r="BM55" s="969"/>
      <c r="BN55" s="977"/>
      <c r="BO55" s="691">
        <f t="shared" si="17"/>
        <v>0</v>
      </c>
      <c r="BQ55" s="691">
        <f t="shared" si="7"/>
        <v>0</v>
      </c>
      <c r="BR55" s="691">
        <f t="shared" si="20"/>
        <v>-17179869.184000015</v>
      </c>
      <c r="BS55" s="894">
        <f t="shared" si="14"/>
        <v>0.125</v>
      </c>
      <c r="BT55" s="975">
        <f t="shared" si="11"/>
        <v>-2147483.6480000019</v>
      </c>
      <c r="BU55" s="691">
        <f t="shared" si="13"/>
        <v>1099973598.3590388</v>
      </c>
      <c r="BV55" s="183">
        <f t="shared" si="21"/>
        <v>0</v>
      </c>
      <c r="BW55" s="949">
        <f t="shared" si="10"/>
        <v>2048</v>
      </c>
    </row>
    <row r="56" spans="3:75" ht="18.600000000000001" thickBot="1" x14ac:dyDescent="0.4">
      <c r="C56" s="122"/>
      <c r="D56" s="7"/>
      <c r="E56" s="7"/>
      <c r="F56" s="136"/>
      <c r="G56" s="136" t="s">
        <v>279</v>
      </c>
      <c r="H56" s="7"/>
      <c r="I56" s="451" t="s">
        <v>284</v>
      </c>
      <c r="J56" s="122"/>
      <c r="K56" s="8"/>
      <c r="S56" s="88"/>
      <c r="AL56" s="239"/>
      <c r="AN56" s="719">
        <f>AN48-AN53</f>
        <v>36665786611.967964</v>
      </c>
      <c r="AO56" s="253"/>
      <c r="AP56" s="253"/>
      <c r="AQ56" s="253"/>
      <c r="AR56" s="239" t="s">
        <v>892</v>
      </c>
      <c r="AS56" s="615">
        <f>AT58</f>
        <v>3.4969472841310525</v>
      </c>
      <c r="AT56" s="569" t="s">
        <v>980</v>
      </c>
      <c r="AU56" s="569"/>
      <c r="AV56" s="181"/>
      <c r="AW56" s="181"/>
      <c r="AX56" s="252"/>
      <c r="AY56" s="252"/>
      <c r="AZ56" s="252"/>
      <c r="BA56" s="252"/>
      <c r="BG56" s="1"/>
      <c r="BM56" s="979">
        <f>SUM(BM22:BM55)</f>
        <v>23.975000000000001</v>
      </c>
      <c r="BN56" s="979">
        <f>SUM(BN22:BN55)</f>
        <v>24</v>
      </c>
    </row>
    <row r="57" spans="3:75" ht="16.8" thickTop="1" thickBot="1" x14ac:dyDescent="0.35">
      <c r="C57" s="137" t="s">
        <v>291</v>
      </c>
      <c r="D57" s="138">
        <f>E57/E51</f>
        <v>5.5576698964803502E-2</v>
      </c>
      <c r="E57" s="139">
        <f>E14</f>
        <v>419167269.78284609</v>
      </c>
      <c r="F57" s="140">
        <v>0.5</v>
      </c>
      <c r="G57" s="139">
        <f>E57*F57</f>
        <v>209583634.89142305</v>
      </c>
      <c r="H57" s="463">
        <v>0.95</v>
      </c>
      <c r="I57" s="139">
        <f>G57*H57</f>
        <v>199104453.1468519</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48"/>
      <c r="AM57" s="937" t="s">
        <v>1293</v>
      </c>
      <c r="AN57" s="1003"/>
      <c r="AO57" s="253"/>
      <c r="AP57" s="877" t="s">
        <v>1293</v>
      </c>
      <c r="AQ57" s="252"/>
      <c r="AR57" s="239"/>
      <c r="AS57" s="208">
        <f>AS50</f>
        <v>0.59448103830227894</v>
      </c>
      <c r="AT57" s="80">
        <f>AS57</f>
        <v>0.59448103830227894</v>
      </c>
      <c r="BQ57" s="77" t="s">
        <v>966</v>
      </c>
      <c r="BR57" s="77"/>
      <c r="BS57" s="77" t="s">
        <v>965</v>
      </c>
      <c r="BT57" s="77"/>
      <c r="BU57" s="77"/>
    </row>
    <row r="58" spans="3:75"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7" t="s">
        <v>1294</v>
      </c>
      <c r="AN58" s="996">
        <f>AN56*AO58</f>
        <v>1099973598.3590388</v>
      </c>
      <c r="AO58" s="923">
        <v>0.03</v>
      </c>
      <c r="AP58" s="924" t="s">
        <v>1443</v>
      </c>
      <c r="AQ58" s="925"/>
      <c r="AR58" s="239"/>
      <c r="AS58" s="76"/>
      <c r="AT58" s="1">
        <f>AT57/AT55</f>
        <v>3.4969472841310525</v>
      </c>
      <c r="BQ58" s="77" t="s">
        <v>785</v>
      </c>
      <c r="BR58" s="77"/>
      <c r="BS58" s="77" t="s">
        <v>962</v>
      </c>
      <c r="BT58" s="77"/>
      <c r="BU58" s="77"/>
    </row>
    <row r="59" spans="3:75"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76"/>
      <c r="AK59" s="410"/>
      <c r="AL59" s="928"/>
      <c r="AM59" s="948" t="s">
        <v>1295</v>
      </c>
      <c r="AN59" s="911">
        <f>AN56*AO59</f>
        <v>1833289330.5983982</v>
      </c>
      <c r="AO59" s="912">
        <v>0.05</v>
      </c>
      <c r="AP59" s="875" t="s">
        <v>1162</v>
      </c>
      <c r="AQ59" s="126"/>
      <c r="AR59" s="239"/>
      <c r="AS59" s="76"/>
      <c r="AX59" s="32"/>
    </row>
    <row r="60" spans="3:75" ht="16.2" thickBot="1" x14ac:dyDescent="0.35">
      <c r="C60" s="397" t="s">
        <v>276</v>
      </c>
      <c r="D60" s="398">
        <f>100%-D57-D63</f>
        <v>0.78125</v>
      </c>
      <c r="E60" s="399">
        <f>E51*D60</f>
        <v>5892297232.7888126</v>
      </c>
      <c r="F60" s="400">
        <v>1</v>
      </c>
      <c r="G60" s="399">
        <f>E60*F60</f>
        <v>5892297232.7888126</v>
      </c>
      <c r="H60" s="464">
        <v>0.9</v>
      </c>
      <c r="I60" s="399">
        <f>G60*H60</f>
        <v>5303067509.5099316</v>
      </c>
      <c r="J60" s="464">
        <v>0</v>
      </c>
      <c r="K60" s="453">
        <f>I60*J60</f>
        <v>0</v>
      </c>
      <c r="S60" s="88"/>
      <c r="Y60" s="238"/>
      <c r="Z60" s="238"/>
      <c r="AA60" s="238"/>
      <c r="AB60" s="238"/>
      <c r="AC60" s="238"/>
      <c r="AD60" s="238"/>
      <c r="AE60" s="238"/>
      <c r="AF60" s="238"/>
      <c r="AG60" s="238"/>
      <c r="AH60" s="238"/>
      <c r="AI60" s="238"/>
      <c r="AJ60" s="76"/>
      <c r="AK60" s="76"/>
      <c r="AL60" s="239"/>
      <c r="AM60" s="948" t="s">
        <v>1296</v>
      </c>
      <c r="AN60" s="911">
        <f>AN56*AO60</f>
        <v>1466631464.4787185</v>
      </c>
      <c r="AO60" s="912">
        <v>0.04</v>
      </c>
      <c r="AP60" s="875" t="s">
        <v>1441</v>
      </c>
      <c r="AQ60" s="126"/>
      <c r="AR60" s="239"/>
      <c r="AS60" s="691">
        <f>AS32+AS47</f>
        <v>38164431747.179695</v>
      </c>
      <c r="AT60" s="1" t="s">
        <v>958</v>
      </c>
      <c r="BG60" s="1"/>
      <c r="BK60" s="1"/>
      <c r="BV60" s="1"/>
      <c r="BW60" s="1"/>
    </row>
    <row r="61" spans="3:75" x14ac:dyDescent="0.3">
      <c r="C61" s="403"/>
      <c r="D61" s="118"/>
      <c r="E61" s="837"/>
      <c r="F61" s="7"/>
      <c r="G61" s="7"/>
      <c r="H61" s="7"/>
      <c r="I61" s="8"/>
      <c r="J61" s="122"/>
      <c r="K61" s="8"/>
      <c r="S61" s="88"/>
      <c r="Y61" s="238"/>
      <c r="Z61" s="238"/>
      <c r="AA61" s="238"/>
      <c r="AB61" s="238"/>
      <c r="AC61" s="238"/>
      <c r="AD61" s="238"/>
      <c r="AE61" s="238"/>
      <c r="AF61" s="238"/>
      <c r="AG61" s="238"/>
      <c r="AH61" s="238"/>
      <c r="AI61" s="238"/>
      <c r="AJ61" s="76"/>
      <c r="AK61" s="410"/>
      <c r="AL61" s="927"/>
      <c r="AM61" s="948" t="s">
        <v>1297</v>
      </c>
      <c r="AN61" s="911">
        <f>AN56*AO61</f>
        <v>2199947196.7180777</v>
      </c>
      <c r="AO61" s="912">
        <v>0.06</v>
      </c>
      <c r="AP61" s="875" t="s">
        <v>1303</v>
      </c>
      <c r="AQ61" s="126"/>
      <c r="AR61" s="253"/>
      <c r="AS61" s="647">
        <f>AS60/AS47</f>
        <v>5.7558483064182324</v>
      </c>
    </row>
    <row r="62" spans="3:75"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76"/>
      <c r="AK62" s="76"/>
      <c r="AL62" s="239"/>
      <c r="AM62" s="948" t="s">
        <v>1300</v>
      </c>
      <c r="AN62" s="911">
        <f>AN56*AO62</f>
        <v>2199947196.7180777</v>
      </c>
      <c r="AO62" s="912">
        <v>0.06</v>
      </c>
      <c r="AP62" s="410" t="s">
        <v>1442</v>
      </c>
      <c r="AQ62" s="126"/>
      <c r="AR62" s="253"/>
    </row>
    <row r="63" spans="3:75" ht="16.2" thickBot="1" x14ac:dyDescent="0.35">
      <c r="C63" s="149" t="s">
        <v>737</v>
      </c>
      <c r="D63" s="150">
        <f>E63/E51</f>
        <v>0.16317330103519651</v>
      </c>
      <c r="E63" s="151">
        <f>E21</f>
        <v>1230675955.3980215</v>
      </c>
      <c r="F63" s="152">
        <v>0.3</v>
      </c>
      <c r="G63" s="151">
        <f>E63*F63</f>
        <v>369202786.6194064</v>
      </c>
      <c r="H63" s="465">
        <v>0.9</v>
      </c>
      <c r="I63" s="151">
        <f>G63*H63</f>
        <v>332282507.95746577</v>
      </c>
      <c r="J63" s="465">
        <v>0</v>
      </c>
      <c r="K63" s="444">
        <f>I63*J63</f>
        <v>0</v>
      </c>
      <c r="S63" s="88"/>
      <c r="Y63" s="238"/>
      <c r="Z63" s="238"/>
      <c r="AA63" s="238"/>
      <c r="AB63" s="238"/>
      <c r="AC63" s="238"/>
      <c r="AD63" s="238"/>
      <c r="AE63" s="238"/>
      <c r="AF63" s="238"/>
      <c r="AG63" s="238"/>
      <c r="AH63" s="238"/>
      <c r="AI63" s="926"/>
      <c r="AJ63" s="410"/>
      <c r="AK63" s="410"/>
      <c r="AL63" s="927"/>
      <c r="AM63" s="948" t="s">
        <v>1305</v>
      </c>
      <c r="AN63" s="911">
        <f>AN56*AO63</f>
        <v>1466631464.4787185</v>
      </c>
      <c r="AO63" s="912">
        <v>0.04</v>
      </c>
      <c r="AP63" s="410" t="s">
        <v>148</v>
      </c>
      <c r="AQ63" s="126"/>
      <c r="AR63" s="253"/>
      <c r="BL63" s="1" t="s">
        <v>1466</v>
      </c>
    </row>
    <row r="64" spans="3:75" ht="16.2" thickBot="1" x14ac:dyDescent="0.35">
      <c r="C64" s="141"/>
      <c r="D64" s="429"/>
      <c r="E64" s="371"/>
      <c r="F64" s="430"/>
      <c r="G64" s="432" t="s">
        <v>738</v>
      </c>
      <c r="H64" s="142"/>
      <c r="I64" s="449" t="s">
        <v>738</v>
      </c>
      <c r="J64" s="433"/>
      <c r="K64" s="434"/>
      <c r="S64" s="88"/>
      <c r="Y64" s="238"/>
      <c r="AE64" s="252"/>
      <c r="AG64" s="88"/>
      <c r="AI64" s="106"/>
      <c r="AJ64" s="964"/>
      <c r="AK64" s="106"/>
      <c r="AL64" s="929"/>
      <c r="AM64" s="938"/>
      <c r="AN64" s="1004"/>
      <c r="AO64" s="1005"/>
      <c r="AP64" s="1005"/>
      <c r="AQ64" s="903"/>
      <c r="AR64" s="253"/>
      <c r="BL64" s="1">
        <v>10000000</v>
      </c>
    </row>
    <row r="65" spans="3:75" ht="16.2" thickBot="1" x14ac:dyDescent="0.35">
      <c r="C65" s="141"/>
      <c r="D65" s="429"/>
      <c r="E65" s="371"/>
      <c r="F65" s="430">
        <v>0.25</v>
      </c>
      <c r="G65" s="432">
        <f>E63*F65</f>
        <v>307668988.84950536</v>
      </c>
      <c r="H65" s="466">
        <v>0.95</v>
      </c>
      <c r="I65" s="432">
        <f>G65*H65</f>
        <v>292285539.40703011</v>
      </c>
      <c r="J65" s="466">
        <v>0</v>
      </c>
      <c r="K65" s="449">
        <f>I65*J65</f>
        <v>0</v>
      </c>
      <c r="S65" s="88"/>
      <c r="Y65" s="238"/>
      <c r="AE65" s="252"/>
      <c r="AG65" s="88"/>
      <c r="AI65" s="106"/>
      <c r="AJ65" s="964"/>
      <c r="AK65" s="106"/>
      <c r="AL65" s="927"/>
      <c r="AM65" s="939" t="s">
        <v>1299</v>
      </c>
      <c r="AN65" s="1006">
        <f>AN53</f>
        <v>10995116277.76</v>
      </c>
      <c r="AO65" s="935">
        <f>AN65/AN56</f>
        <v>0.29987400499873956</v>
      </c>
      <c r="AP65" s="898" t="s">
        <v>1311</v>
      </c>
      <c r="AQ65" s="905"/>
      <c r="AR65" s="253"/>
      <c r="BL65" s="162">
        <v>0.125</v>
      </c>
      <c r="BM65" s="1" t="s">
        <v>1467</v>
      </c>
    </row>
    <row r="66" spans="3:75" ht="16.2" thickBot="1" x14ac:dyDescent="0.35">
      <c r="C66" s="122"/>
      <c r="D66" s="94">
        <f>SUM(D57:D63)</f>
        <v>1</v>
      </c>
      <c r="E66" s="7"/>
      <c r="F66" s="153"/>
      <c r="G66" s="154" t="s">
        <v>293</v>
      </c>
      <c r="H66" s="7"/>
      <c r="I66" s="448" t="s">
        <v>294</v>
      </c>
      <c r="J66" s="122"/>
      <c r="K66" s="8"/>
      <c r="S66" s="88"/>
      <c r="W66" s="77" t="s">
        <v>805</v>
      </c>
      <c r="Y66" s="238"/>
      <c r="AA66" s="576"/>
      <c r="AB66" s="88"/>
      <c r="AD66" s="88"/>
      <c r="AE66" s="252"/>
      <c r="AG66" s="88"/>
      <c r="AH66" s="88"/>
      <c r="AI66" s="106"/>
      <c r="AJ66" s="964"/>
      <c r="AK66" s="106"/>
      <c r="AL66" s="106"/>
      <c r="AM66" s="940" t="s">
        <v>1325</v>
      </c>
      <c r="AN66" s="930">
        <f>AN56*AO66</f>
        <v>183328933.05983981</v>
      </c>
      <c r="AO66" s="931">
        <v>5.0000000000000001E-3</v>
      </c>
      <c r="AP66" s="898" t="s">
        <v>1315</v>
      </c>
      <c r="AQ66" s="905"/>
      <c r="AR66" s="946">
        <v>272</v>
      </c>
      <c r="AS66" s="181" t="s">
        <v>1314</v>
      </c>
      <c r="BL66" s="1">
        <f>BL64*BL65</f>
        <v>1250000</v>
      </c>
    </row>
    <row r="67" spans="3:75" ht="16.2" thickBot="1" x14ac:dyDescent="0.35">
      <c r="C67" s="122"/>
      <c r="D67" s="7"/>
      <c r="E67" s="7"/>
      <c r="F67" s="153">
        <v>0.2</v>
      </c>
      <c r="G67" s="99">
        <f>E63*F67</f>
        <v>246135191.0796043</v>
      </c>
      <c r="H67" s="467">
        <v>0.9</v>
      </c>
      <c r="I67" s="99">
        <f>G67*H67</f>
        <v>221521671.97164387</v>
      </c>
      <c r="J67" s="467">
        <v>0</v>
      </c>
      <c r="K67" s="443">
        <f>I67*J67</f>
        <v>0</v>
      </c>
      <c r="S67" s="88"/>
      <c r="W67" s="949">
        <v>2024</v>
      </c>
      <c r="Y67" s="76"/>
      <c r="AA67" s="952"/>
      <c r="AB67" s="252"/>
      <c r="AD67" s="252"/>
      <c r="AE67" s="252"/>
      <c r="AG67" s="88"/>
      <c r="AI67" s="106"/>
      <c r="AJ67" s="964"/>
      <c r="AK67" s="106"/>
      <c r="AL67" s="106"/>
      <c r="AM67" s="940" t="s">
        <v>1307</v>
      </c>
      <c r="AN67" s="930">
        <f>AN56*AO67</f>
        <v>1099973598.3590388</v>
      </c>
      <c r="AO67" s="931">
        <v>0.03</v>
      </c>
      <c r="AP67" s="898" t="s">
        <v>1323</v>
      </c>
      <c r="AQ67" s="905"/>
      <c r="AR67" s="945">
        <v>100</v>
      </c>
      <c r="AS67" s="938">
        <f>AR66*AR67</f>
        <v>27200</v>
      </c>
      <c r="AT67" s="1" t="s">
        <v>1316</v>
      </c>
      <c r="BL67" s="32">
        <v>0.25</v>
      </c>
      <c r="BM67" s="1" t="s">
        <v>297</v>
      </c>
    </row>
    <row r="68" spans="3:75" ht="16.2" thickBot="1" x14ac:dyDescent="0.35">
      <c r="C68" s="122"/>
      <c r="D68" s="7"/>
      <c r="E68" s="7"/>
      <c r="F68" s="445"/>
      <c r="G68" s="445" t="s">
        <v>733</v>
      </c>
      <c r="H68" s="7"/>
      <c r="I68" s="452" t="s">
        <v>733</v>
      </c>
      <c r="J68" s="122"/>
      <c r="K68" s="8"/>
      <c r="R68" s="38"/>
      <c r="S68" s="582"/>
      <c r="W68" s="77" t="s">
        <v>672</v>
      </c>
      <c r="Y68" s="238"/>
      <c r="AA68" s="576"/>
      <c r="AB68" s="88"/>
      <c r="AD68" s="88"/>
      <c r="AE68" s="252"/>
      <c r="AG68" s="88"/>
      <c r="AH68" s="88"/>
      <c r="AI68" s="106"/>
      <c r="AJ68" s="964"/>
      <c r="AK68" s="106"/>
      <c r="AL68" s="251"/>
      <c r="AM68" s="940" t="s">
        <v>1308</v>
      </c>
      <c r="AN68" s="930">
        <f>AN56*AO68</f>
        <v>1099973598.3590388</v>
      </c>
      <c r="AO68" s="931">
        <v>0.03</v>
      </c>
      <c r="AP68" s="898" t="s">
        <v>1438</v>
      </c>
      <c r="AQ68" s="905"/>
      <c r="AR68" s="600"/>
      <c r="AS68" s="1">
        <v>1000</v>
      </c>
      <c r="AT68" s="1" t="s">
        <v>226</v>
      </c>
      <c r="BL68" s="1">
        <f>BL66*BL67</f>
        <v>312500</v>
      </c>
      <c r="BM68" s="1" t="s">
        <v>297</v>
      </c>
    </row>
    <row r="69" spans="3:75" ht="16.2" thickBot="1" x14ac:dyDescent="0.35">
      <c r="C69" s="122"/>
      <c r="D69" s="7"/>
      <c r="E69" s="7"/>
      <c r="F69" s="438">
        <v>0.2</v>
      </c>
      <c r="G69" s="446">
        <f>E63*F69</f>
        <v>246135191.0796043</v>
      </c>
      <c r="H69" s="447">
        <v>0.25</v>
      </c>
      <c r="I69" s="446">
        <f>G69*H69</f>
        <v>61533797.769901074</v>
      </c>
      <c r="J69" s="447">
        <v>0</v>
      </c>
      <c r="K69" s="439">
        <f>I69*J69</f>
        <v>0</v>
      </c>
      <c r="Q69" s="240" t="s">
        <v>952</v>
      </c>
      <c r="S69" s="88"/>
      <c r="W69" s="691">
        <f>AQ47</f>
        <v>6630548568.2489748</v>
      </c>
      <c r="Y69" s="238"/>
      <c r="AA69" s="952"/>
      <c r="AB69" s="88"/>
      <c r="AD69" s="88"/>
      <c r="AE69" s="252"/>
      <c r="AF69" s="88"/>
      <c r="AG69" s="88"/>
      <c r="AH69" s="88"/>
      <c r="AI69" s="88"/>
      <c r="AJ69" s="958"/>
      <c r="AK69" s="88"/>
      <c r="AL69" s="88"/>
      <c r="AM69" s="940" t="s">
        <v>1317</v>
      </c>
      <c r="AN69" s="930">
        <f>AN56*AO69</f>
        <v>1099973598.3590388</v>
      </c>
      <c r="AO69" s="931">
        <v>0.03</v>
      </c>
      <c r="AP69" s="898" t="s">
        <v>1356</v>
      </c>
      <c r="AQ69" s="905"/>
      <c r="AR69" s="601"/>
      <c r="AS69" s="1">
        <f>AS67*AS68</f>
        <v>27200000</v>
      </c>
      <c r="AT69" s="1" t="s">
        <v>1320</v>
      </c>
      <c r="BL69" s="86">
        <f>BL66-BL68</f>
        <v>937500</v>
      </c>
      <c r="BM69" s="1" t="s">
        <v>1468</v>
      </c>
    </row>
    <row r="70" spans="3:75" x14ac:dyDescent="0.3">
      <c r="C70" s="122"/>
      <c r="D70" s="7"/>
      <c r="E70" s="7"/>
      <c r="F70" s="142"/>
      <c r="G70" s="371"/>
      <c r="H70" s="142"/>
      <c r="I70" s="434"/>
      <c r="J70" s="142"/>
      <c r="K70" s="434"/>
      <c r="L70" s="240" t="s">
        <v>1367</v>
      </c>
      <c r="O70" s="240" t="s">
        <v>803</v>
      </c>
      <c r="Q70" s="951">
        <f>O72</f>
        <v>512</v>
      </c>
      <c r="S70" s="248" t="s">
        <v>367</v>
      </c>
      <c r="U70" s="77" t="s">
        <v>1328</v>
      </c>
      <c r="W70" s="77" t="s">
        <v>806</v>
      </c>
      <c r="Y70" s="238"/>
      <c r="AA70" s="88"/>
      <c r="AB70" s="88"/>
      <c r="AD70" s="88"/>
      <c r="AE70" s="252"/>
      <c r="AF70" s="88"/>
      <c r="AG70" s="88"/>
      <c r="AH70" s="88"/>
      <c r="AI70" s="88"/>
      <c r="AJ70" s="958"/>
      <c r="AK70" s="88"/>
      <c r="AL70" s="88"/>
      <c r="AM70" s="940" t="s">
        <v>1318</v>
      </c>
      <c r="AN70" s="930">
        <f>AN56*AO70</f>
        <v>1099973598.3590388</v>
      </c>
      <c r="AO70" s="931">
        <v>0.03</v>
      </c>
      <c r="AP70" s="898" t="s">
        <v>1357</v>
      </c>
      <c r="AQ70" s="905"/>
      <c r="AR70" s="600"/>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55">
        <f>AO53</f>
        <v>512</v>
      </c>
      <c r="U71" s="77" t="s">
        <v>804</v>
      </c>
      <c r="V71" s="947"/>
      <c r="W71" s="319">
        <v>0.3</v>
      </c>
      <c r="Y71" s="76" t="s">
        <v>893</v>
      </c>
      <c r="Z71" s="76"/>
      <c r="AA71" s="77" t="s">
        <v>1332</v>
      </c>
      <c r="AB71" s="88"/>
      <c r="AE71" s="958"/>
      <c r="AF71" s="644" t="s">
        <v>986</v>
      </c>
      <c r="AG71" s="958"/>
      <c r="AH71" s="88"/>
      <c r="AI71" s="88"/>
      <c r="AJ71" s="958"/>
      <c r="AK71" s="88"/>
      <c r="AL71" s="88"/>
      <c r="AM71" s="940" t="s">
        <v>1319</v>
      </c>
      <c r="AN71" s="930">
        <f>AN56*AO71</f>
        <v>1099973598.3590388</v>
      </c>
      <c r="AO71" s="931">
        <v>0.03</v>
      </c>
      <c r="AP71" s="898" t="s">
        <v>1358</v>
      </c>
      <c r="AQ71" s="905"/>
      <c r="AR71" s="936"/>
    </row>
    <row r="72" spans="3:75" x14ac:dyDescent="0.3">
      <c r="C72" s="158"/>
      <c r="D72" s="10"/>
      <c r="E72" s="10"/>
      <c r="F72" s="10"/>
      <c r="G72" s="159">
        <f>SUM(G53:G71)</f>
        <v>7480606660.1997795</v>
      </c>
      <c r="H72" s="160"/>
      <c r="I72" s="172">
        <f>SUM(I53:I71)</f>
        <v>6556504024.186821</v>
      </c>
      <c r="J72" s="158"/>
      <c r="K72" s="481">
        <f>SUM(K53:K71)</f>
        <v>0</v>
      </c>
      <c r="L72" s="482">
        <f>AN34</f>
        <v>6.3192807340740149</v>
      </c>
      <c r="M72" s="480">
        <f>K72*L72</f>
        <v>0</v>
      </c>
      <c r="N72" s="239"/>
      <c r="O72" s="950">
        <f>AO53</f>
        <v>512</v>
      </c>
      <c r="P72" s="239"/>
      <c r="Q72" s="480">
        <f>M72*O72</f>
        <v>0</v>
      </c>
      <c r="R72" s="239"/>
      <c r="S72" s="956">
        <f>M72*S71</f>
        <v>0</v>
      </c>
      <c r="T72" s="239"/>
      <c r="U72" s="910">
        <f>Q72+S72</f>
        <v>0</v>
      </c>
      <c r="V72" s="949" t="s">
        <v>1330</v>
      </c>
      <c r="W72" s="910">
        <f>W69*W71</f>
        <v>1989164570.4746923</v>
      </c>
      <c r="X72" s="949" t="s">
        <v>1330</v>
      </c>
      <c r="Y72" s="910">
        <f>AN59+AN60+AN61+AN62+AN63</f>
        <v>9166446652.991991</v>
      </c>
      <c r="Z72" s="949" t="s">
        <v>1331</v>
      </c>
      <c r="AA72" s="910">
        <f>U72+W72+Y72</f>
        <v>11155611223.466682</v>
      </c>
      <c r="AB72" s="238"/>
      <c r="AC72" s="238"/>
      <c r="AD72" s="961"/>
      <c r="AE72" s="644" t="s">
        <v>805</v>
      </c>
      <c r="AF72" s="958"/>
      <c r="AG72" s="644" t="s">
        <v>987</v>
      </c>
      <c r="AH72" s="958"/>
      <c r="AI72" s="181"/>
      <c r="AJ72" s="958"/>
      <c r="AK72" s="88"/>
      <c r="AL72" s="88"/>
      <c r="AM72" s="940" t="s">
        <v>1312</v>
      </c>
      <c r="AN72" s="930">
        <f>AN56*AO72</f>
        <v>1099973598.3590388</v>
      </c>
      <c r="AO72" s="931">
        <v>0.03</v>
      </c>
      <c r="AP72" s="898" t="s">
        <v>1359</v>
      </c>
      <c r="AQ72" s="905"/>
      <c r="AR72" s="812"/>
    </row>
    <row r="73" spans="3:75"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I73" s="88"/>
      <c r="AJ73" s="88"/>
      <c r="AK73" s="88"/>
      <c r="AL73" s="88"/>
      <c r="AM73" s="940" t="s">
        <v>1313</v>
      </c>
      <c r="AN73" s="930">
        <f>AN56*AO73</f>
        <v>733315732.23935926</v>
      </c>
      <c r="AO73" s="931">
        <v>0.02</v>
      </c>
      <c r="AP73" s="898" t="s">
        <v>1361</v>
      </c>
      <c r="AQ73" s="905"/>
      <c r="AR73" s="255"/>
    </row>
    <row r="74" spans="3:75"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77" si="28">AF73</f>
        <v>2.5000000000000001E-2</v>
      </c>
      <c r="AG74" s="691">
        <f t="shared" ref="AG74:AG77" si="29">AE74*AF74</f>
        <v>136050000</v>
      </c>
      <c r="AI74" s="88"/>
      <c r="AJ74" s="252"/>
      <c r="AK74" s="252"/>
      <c r="AL74" s="252"/>
      <c r="AM74" s="940" t="s">
        <v>1324</v>
      </c>
      <c r="AN74" s="930">
        <f>AN56*AO74</f>
        <v>1833289330.5983982</v>
      </c>
      <c r="AO74" s="931">
        <v>0.05</v>
      </c>
      <c r="AP74" s="898" t="s">
        <v>1439</v>
      </c>
      <c r="AQ74" s="905"/>
      <c r="AR74" s="255"/>
    </row>
    <row r="75" spans="3:75"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77" si="31">AE74+AG74</f>
        <v>5578050000</v>
      </c>
      <c r="AF75" s="963">
        <f t="shared" si="28"/>
        <v>2.5000000000000001E-2</v>
      </c>
      <c r="AG75" s="691">
        <f t="shared" si="29"/>
        <v>139451250</v>
      </c>
      <c r="AI75" s="88"/>
      <c r="AJ75" s="252"/>
      <c r="AK75" s="88"/>
      <c r="AL75" s="88"/>
      <c r="AM75" s="940" t="s">
        <v>1306</v>
      </c>
      <c r="AN75" s="930">
        <f>AN56*AO75</f>
        <v>733315732.23935926</v>
      </c>
      <c r="AO75" s="931">
        <v>0.02</v>
      </c>
      <c r="AP75" s="899" t="s">
        <v>1360</v>
      </c>
      <c r="AQ75" s="932"/>
      <c r="AR75" s="255"/>
    </row>
    <row r="76" spans="3:75" x14ac:dyDescent="0.3">
      <c r="R76" s="88"/>
      <c r="S76" s="252"/>
      <c r="T76" s="88"/>
      <c r="U76" s="88"/>
      <c r="V76" s="88"/>
      <c r="W76" s="88"/>
      <c r="X76" s="88"/>
      <c r="Y76" s="88"/>
      <c r="Z76" s="361" t="s">
        <v>1347</v>
      </c>
      <c r="AA76" s="736">
        <f>AA72</f>
        <v>11155611223.466682</v>
      </c>
      <c r="AB76" s="88"/>
      <c r="AD76" s="960">
        <f t="shared" si="30"/>
        <v>2018</v>
      </c>
      <c r="AE76" s="691">
        <f t="shared" si="31"/>
        <v>5717501250</v>
      </c>
      <c r="AF76" s="963">
        <f t="shared" si="28"/>
        <v>2.5000000000000001E-2</v>
      </c>
      <c r="AG76" s="691">
        <f t="shared" si="29"/>
        <v>142937531.25</v>
      </c>
      <c r="AI76" s="88"/>
      <c r="AJ76" s="252"/>
      <c r="AK76" s="88"/>
      <c r="AL76" s="88"/>
      <c r="AM76" s="941" t="s">
        <v>1309</v>
      </c>
      <c r="AN76" s="930">
        <f>AN56*AO76</f>
        <v>733315732.23935926</v>
      </c>
      <c r="AO76" s="931">
        <v>0.02</v>
      </c>
      <c r="AP76" s="899" t="s">
        <v>1440</v>
      </c>
      <c r="AQ76" s="932"/>
      <c r="AR76" s="255"/>
    </row>
    <row r="77" spans="3:75"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I77" s="88"/>
      <c r="AJ77" s="88"/>
      <c r="AK77" s="88"/>
      <c r="AL77" s="88"/>
      <c r="AM77" s="940" t="s">
        <v>1310</v>
      </c>
      <c r="AN77" s="904">
        <f>AN56*AO77</f>
        <v>1833289330.5983982</v>
      </c>
      <c r="AO77" s="1065">
        <v>0.05</v>
      </c>
      <c r="AP77" s="898" t="s">
        <v>1362</v>
      </c>
      <c r="AQ77" s="905"/>
      <c r="AR77" s="255"/>
    </row>
    <row r="78" spans="3:75" x14ac:dyDescent="0.3">
      <c r="R78" s="88"/>
      <c r="S78" s="252"/>
      <c r="T78" s="88"/>
      <c r="U78" s="88"/>
      <c r="V78" s="88"/>
      <c r="W78" s="88"/>
      <c r="X78" s="88"/>
      <c r="Y78" s="88"/>
      <c r="Z78" s="555" t="s">
        <v>1333</v>
      </c>
      <c r="AA78" s="957">
        <f>AA72/W72</f>
        <v>5.6081891810512783</v>
      </c>
      <c r="AB78" s="252"/>
      <c r="AD78" s="960">
        <f t="shared" ref="AD78:AD106" si="32">AD77+1</f>
        <v>2020</v>
      </c>
      <c r="AE78" s="691">
        <f t="shared" ref="AE78:AE106" si="33">AE77+AG77</f>
        <v>6006949750.78125</v>
      </c>
      <c r="AF78" s="963">
        <f t="shared" ref="AF78:AF106" si="34">AF77</f>
        <v>2.5000000000000001E-2</v>
      </c>
      <c r="AG78" s="691">
        <f t="shared" ref="AG78:AG106" si="35">AE78*AF78</f>
        <v>150173743.76953125</v>
      </c>
      <c r="AI78" s="88"/>
      <c r="AJ78" s="88"/>
      <c r="AK78" s="88"/>
      <c r="AL78" s="88"/>
      <c r="AM78" s="940" t="s">
        <v>1452</v>
      </c>
      <c r="AN78" s="904">
        <f>AN56*AO78</f>
        <v>1833289330.5983982</v>
      </c>
      <c r="AO78" s="1065">
        <v>0.05</v>
      </c>
      <c r="AP78" s="898" t="s">
        <v>1450</v>
      </c>
      <c r="AQ78" s="905"/>
      <c r="AR78" s="255"/>
    </row>
    <row r="79" spans="3:75" x14ac:dyDescent="0.3">
      <c r="R79" s="88"/>
      <c r="S79" s="252"/>
      <c r="T79" s="88"/>
      <c r="U79" s="88"/>
      <c r="V79" s="88"/>
      <c r="W79" s="88"/>
      <c r="X79" s="88"/>
      <c r="AB79" s="252"/>
      <c r="AD79" s="960">
        <f t="shared" si="32"/>
        <v>2021</v>
      </c>
      <c r="AE79" s="691">
        <f t="shared" si="33"/>
        <v>6157123494.5507813</v>
      </c>
      <c r="AF79" s="963">
        <f t="shared" si="34"/>
        <v>2.5000000000000001E-2</v>
      </c>
      <c r="AG79" s="691">
        <f t="shared" si="35"/>
        <v>153928087.36376953</v>
      </c>
      <c r="AI79" s="88"/>
      <c r="AJ79" s="88"/>
      <c r="AK79" s="88"/>
      <c r="AL79" s="88"/>
      <c r="AM79" s="940" t="s">
        <v>1453</v>
      </c>
      <c r="AN79" s="904">
        <f>AN56*AO79</f>
        <v>366657866.11967963</v>
      </c>
      <c r="AO79" s="1065">
        <v>0.01</v>
      </c>
      <c r="AP79" s="898" t="s">
        <v>1451</v>
      </c>
      <c r="AQ79" s="905"/>
      <c r="AR79" s="255"/>
    </row>
    <row r="80" spans="3:75" x14ac:dyDescent="0.3">
      <c r="R80" s="88"/>
      <c r="S80" s="252"/>
      <c r="T80" s="88"/>
      <c r="U80" s="88"/>
      <c r="V80" s="88"/>
      <c r="W80" s="88"/>
      <c r="X80" s="88"/>
      <c r="Y80" s="88"/>
      <c r="Z80" s="88"/>
      <c r="AA80" s="88"/>
      <c r="AB80" s="88"/>
      <c r="AD80" s="960">
        <f t="shared" si="32"/>
        <v>2022</v>
      </c>
      <c r="AE80" s="691">
        <f t="shared" si="33"/>
        <v>6311051581.9145508</v>
      </c>
      <c r="AF80" s="963">
        <f t="shared" si="34"/>
        <v>2.5000000000000001E-2</v>
      </c>
      <c r="AG80" s="691">
        <f t="shared" si="35"/>
        <v>157776289.54786378</v>
      </c>
      <c r="AI80" s="88"/>
      <c r="AJ80" s="88"/>
      <c r="AK80" s="88"/>
      <c r="AL80" s="88"/>
      <c r="AM80" s="940" t="s">
        <v>1326</v>
      </c>
      <c r="AN80" s="904">
        <f>AN56*AO80</f>
        <v>1099973598.3590388</v>
      </c>
      <c r="AO80" s="1065">
        <v>0.03</v>
      </c>
      <c r="AP80" s="898" t="s">
        <v>1348</v>
      </c>
      <c r="AQ80" s="905"/>
      <c r="AR80" s="251"/>
    </row>
    <row r="81" spans="18:45" x14ac:dyDescent="0.3">
      <c r="R81" s="88"/>
      <c r="S81" s="252"/>
      <c r="T81" s="88"/>
      <c r="U81" s="88"/>
      <c r="V81" s="88"/>
      <c r="W81" s="88"/>
      <c r="Y81" s="88"/>
      <c r="Z81" s="88"/>
      <c r="AA81" s="88"/>
      <c r="AB81" s="88"/>
      <c r="AD81" s="960">
        <f t="shared" si="32"/>
        <v>2023</v>
      </c>
      <c r="AE81" s="691">
        <f t="shared" si="33"/>
        <v>6468827871.4624147</v>
      </c>
      <c r="AF81" s="963">
        <f t="shared" si="34"/>
        <v>2.5000000000000001E-2</v>
      </c>
      <c r="AG81" s="691">
        <f t="shared" si="35"/>
        <v>161720696.78656039</v>
      </c>
      <c r="AI81" s="88"/>
      <c r="AJ81" s="88"/>
      <c r="AK81" s="88"/>
      <c r="AL81" s="88"/>
      <c r="AM81" s="940" t="s">
        <v>1298</v>
      </c>
      <c r="AN81" s="930">
        <f>AN56*AO81</f>
        <v>1099973598.3590388</v>
      </c>
      <c r="AO81" s="931">
        <v>0.03</v>
      </c>
      <c r="AP81" s="898" t="s">
        <v>1363</v>
      </c>
      <c r="AQ81" s="905"/>
      <c r="AR81" s="251"/>
    </row>
    <row r="82" spans="18:45" x14ac:dyDescent="0.3">
      <c r="R82" s="88"/>
      <c r="S82" s="252"/>
      <c r="T82" s="88"/>
      <c r="U82" s="88"/>
      <c r="V82" s="88"/>
      <c r="W82" s="88"/>
      <c r="X82" s="88"/>
      <c r="AB82" s="88"/>
      <c r="AD82" s="965">
        <f t="shared" si="32"/>
        <v>2024</v>
      </c>
      <c r="AE82" s="182">
        <f t="shared" si="33"/>
        <v>6630548568.2489748</v>
      </c>
      <c r="AF82" s="966">
        <f t="shared" si="34"/>
        <v>2.5000000000000001E-2</v>
      </c>
      <c r="AG82" s="967">
        <f t="shared" si="35"/>
        <v>165763714.20622438</v>
      </c>
      <c r="AI82" s="88"/>
      <c r="AJ82" s="88"/>
      <c r="AK82" s="88"/>
      <c r="AL82" s="88"/>
      <c r="AM82" s="942"/>
      <c r="AN82" s="1067"/>
      <c r="AO82" s="1068">
        <f>SUM(AO58:AO81)</f>
        <v>1.0448740049987399</v>
      </c>
      <c r="AP82" s="1069"/>
      <c r="AQ82" s="1070"/>
      <c r="AR82" s="251"/>
    </row>
    <row r="83" spans="18:45" x14ac:dyDescent="0.3">
      <c r="R83" s="88"/>
      <c r="S83" s="252"/>
      <c r="T83" s="88"/>
      <c r="U83" s="88"/>
      <c r="V83" s="88"/>
      <c r="W83" s="88"/>
      <c r="X83" s="88"/>
      <c r="AB83" s="88"/>
      <c r="AD83" s="960">
        <f t="shared" si="32"/>
        <v>2025</v>
      </c>
      <c r="AE83" s="691">
        <f t="shared" si="33"/>
        <v>6796312282.4551992</v>
      </c>
      <c r="AF83" s="963">
        <f t="shared" si="34"/>
        <v>2.5000000000000001E-2</v>
      </c>
      <c r="AG83" s="691">
        <f t="shared" si="35"/>
        <v>169907807.06138</v>
      </c>
      <c r="AI83" s="88"/>
      <c r="AJ83" s="88"/>
      <c r="AK83" s="88"/>
      <c r="AL83" s="88"/>
      <c r="AM83" s="941" t="s">
        <v>1321</v>
      </c>
      <c r="AN83" s="904">
        <f>AN56*AO83</f>
        <v>-1645340691.7081826</v>
      </c>
      <c r="AO83" s="1065">
        <f>100%-AO82</f>
        <v>-4.4874004998739947E-2</v>
      </c>
      <c r="AP83" s="898" t="s">
        <v>148</v>
      </c>
      <c r="AQ83" s="905"/>
      <c r="AR83" s="251"/>
    </row>
    <row r="84" spans="18:45" x14ac:dyDescent="0.3">
      <c r="R84" s="88"/>
      <c r="S84" s="88"/>
      <c r="T84" s="88"/>
      <c r="U84" s="88"/>
      <c r="V84" s="88"/>
      <c r="W84" s="88"/>
      <c r="X84" s="88"/>
      <c r="Y84" s="88"/>
      <c r="Z84" s="88"/>
      <c r="AA84" s="88"/>
      <c r="AB84" s="88"/>
      <c r="AD84" s="960">
        <f t="shared" si="32"/>
        <v>2026</v>
      </c>
      <c r="AE84" s="691">
        <f t="shared" si="33"/>
        <v>6966220089.5165796</v>
      </c>
      <c r="AF84" s="963">
        <f t="shared" si="34"/>
        <v>2.5000000000000001E-2</v>
      </c>
      <c r="AG84" s="691">
        <f t="shared" si="35"/>
        <v>174155502.2379145</v>
      </c>
      <c r="AI84" s="88"/>
      <c r="AJ84" s="88"/>
      <c r="AK84" s="88"/>
      <c r="AL84" s="88"/>
      <c r="AM84" s="943" t="s">
        <v>1322</v>
      </c>
      <c r="AN84" s="1071">
        <f>SUM(AN58:AN83)</f>
        <v>36665786611.967957</v>
      </c>
      <c r="AO84" s="1072">
        <f>AO82+AO83</f>
        <v>1</v>
      </c>
      <c r="AP84" s="1073" t="s">
        <v>59</v>
      </c>
      <c r="AQ84" s="1074"/>
      <c r="AR84" s="251"/>
    </row>
    <row r="85" spans="18:45" x14ac:dyDescent="0.3">
      <c r="R85" s="88"/>
      <c r="S85" s="88"/>
      <c r="T85" s="88"/>
      <c r="U85" s="88"/>
      <c r="V85" s="88"/>
      <c r="AD85" s="960">
        <f t="shared" si="32"/>
        <v>2027</v>
      </c>
      <c r="AE85" s="691">
        <f t="shared" si="33"/>
        <v>7140375591.7544937</v>
      </c>
      <c r="AF85" s="963">
        <f t="shared" si="34"/>
        <v>2.5000000000000001E-2</v>
      </c>
      <c r="AG85" s="691">
        <f t="shared" si="35"/>
        <v>178509389.79386234</v>
      </c>
      <c r="AI85" s="88"/>
      <c r="AJ85" s="88"/>
      <c r="AK85" s="88"/>
      <c r="AL85" s="88"/>
      <c r="AM85" s="943" t="s">
        <v>1329</v>
      </c>
      <c r="AN85" s="179">
        <f>AN59+AN60+AN61+AN62+AN63</f>
        <v>9166446652.991991</v>
      </c>
      <c r="AO85" s="160"/>
      <c r="AP85" s="160" t="s">
        <v>1364</v>
      </c>
      <c r="AQ85" s="303"/>
      <c r="AR85" s="251"/>
    </row>
    <row r="86" spans="18:45" x14ac:dyDescent="0.3">
      <c r="AD86" s="960">
        <f t="shared" si="32"/>
        <v>2028</v>
      </c>
      <c r="AE86" s="691">
        <f t="shared" si="33"/>
        <v>7318884981.5483561</v>
      </c>
      <c r="AF86" s="963">
        <f t="shared" si="34"/>
        <v>2.5000000000000001E-2</v>
      </c>
      <c r="AG86" s="691">
        <f t="shared" si="35"/>
        <v>182972124.53870893</v>
      </c>
      <c r="AI86" s="88"/>
      <c r="AJ86" s="88"/>
      <c r="AK86" s="88"/>
      <c r="AL86" s="88"/>
      <c r="AM86" s="364"/>
      <c r="AN86" s="1075"/>
      <c r="AO86" s="1076"/>
      <c r="AP86" s="1076"/>
      <c r="AQ86" s="1077"/>
      <c r="AR86" s="251"/>
    </row>
    <row r="87" spans="18:45" x14ac:dyDescent="0.3">
      <c r="AD87" s="960">
        <f t="shared" si="32"/>
        <v>2029</v>
      </c>
      <c r="AE87" s="691">
        <f t="shared" si="33"/>
        <v>7501857106.0870647</v>
      </c>
      <c r="AF87" s="963">
        <f t="shared" si="34"/>
        <v>2.5000000000000001E-2</v>
      </c>
      <c r="AG87" s="691">
        <f t="shared" si="35"/>
        <v>187546427.65217662</v>
      </c>
      <c r="AI87" s="88"/>
      <c r="AJ87" s="88"/>
      <c r="AK87" s="88"/>
      <c r="AL87" s="88"/>
      <c r="AM87" s="1007" t="s">
        <v>1336</v>
      </c>
      <c r="AN87" s="1066">
        <f>AA72</f>
        <v>11155611223.466682</v>
      </c>
      <c r="AO87" s="251" t="s">
        <v>1335</v>
      </c>
      <c r="AP87" s="251"/>
      <c r="AQ87" s="251"/>
      <c r="AR87" s="251"/>
    </row>
    <row r="88" spans="18:45" x14ac:dyDescent="0.3">
      <c r="AD88" s="960">
        <f t="shared" si="32"/>
        <v>2030</v>
      </c>
      <c r="AE88" s="691">
        <f t="shared" si="33"/>
        <v>7689403533.7392416</v>
      </c>
      <c r="AF88" s="963">
        <f t="shared" si="34"/>
        <v>2.5000000000000001E-2</v>
      </c>
      <c r="AG88" s="691">
        <f t="shared" si="35"/>
        <v>192235088.34348106</v>
      </c>
      <c r="AI88" s="88"/>
      <c r="AJ88" s="88"/>
      <c r="AK88" s="88"/>
      <c r="AL88" s="88"/>
      <c r="AM88" s="1008" t="s">
        <v>1337</v>
      </c>
      <c r="AN88" s="1009">
        <f>W72</f>
        <v>1989164570.4746923</v>
      </c>
      <c r="AO88" s="898" t="s">
        <v>1338</v>
      </c>
      <c r="AP88" s="898"/>
      <c r="AQ88" s="251"/>
      <c r="AR88" s="251"/>
    </row>
    <row r="89" spans="18:45" x14ac:dyDescent="0.3">
      <c r="AD89" s="960">
        <f t="shared" si="32"/>
        <v>2031</v>
      </c>
      <c r="AE89" s="691">
        <f t="shared" si="33"/>
        <v>7881638622.0827227</v>
      </c>
      <c r="AF89" s="963">
        <f t="shared" si="34"/>
        <v>2.5000000000000001E-2</v>
      </c>
      <c r="AG89" s="691">
        <f t="shared" si="35"/>
        <v>197040965.55206808</v>
      </c>
      <c r="AI89" s="88"/>
      <c r="AJ89" s="88"/>
      <c r="AK89" s="88"/>
      <c r="AL89" s="88"/>
      <c r="AM89" s="106"/>
      <c r="AN89" s="745"/>
      <c r="AO89" s="251"/>
      <c r="AP89" s="251"/>
      <c r="AQ89" s="251"/>
      <c r="AR89" s="251"/>
      <c r="AS89" s="252"/>
    </row>
    <row r="90" spans="18:45" x14ac:dyDescent="0.3">
      <c r="AD90" s="960">
        <f t="shared" si="32"/>
        <v>2032</v>
      </c>
      <c r="AE90" s="691">
        <f t="shared" si="33"/>
        <v>8078679587.6347904</v>
      </c>
      <c r="AF90" s="963">
        <f t="shared" si="34"/>
        <v>2.5000000000000001E-2</v>
      </c>
      <c r="AG90" s="691">
        <f t="shared" si="35"/>
        <v>201966989.69086978</v>
      </c>
      <c r="AI90" s="88"/>
      <c r="AJ90" s="88"/>
      <c r="AK90" s="88"/>
      <c r="AL90" s="88"/>
      <c r="AN90" s="999" t="s">
        <v>1355</v>
      </c>
      <c r="AO90" s="252"/>
      <c r="AP90" s="252"/>
      <c r="AQ90" s="252"/>
      <c r="AR90" s="252"/>
      <c r="AS90" s="252"/>
    </row>
    <row r="91" spans="18:45" x14ac:dyDescent="0.3">
      <c r="AD91" s="960">
        <f t="shared" si="32"/>
        <v>2033</v>
      </c>
      <c r="AE91" s="691">
        <f t="shared" si="33"/>
        <v>8280646577.3256598</v>
      </c>
      <c r="AF91" s="963">
        <f t="shared" si="34"/>
        <v>2.5000000000000001E-2</v>
      </c>
      <c r="AG91" s="691">
        <f t="shared" si="35"/>
        <v>207016164.4331415</v>
      </c>
      <c r="AI91" s="88"/>
      <c r="AJ91" s="88"/>
      <c r="AK91" s="88"/>
      <c r="AL91" s="88"/>
      <c r="AO91" s="252"/>
      <c r="AP91" s="252"/>
      <c r="AQ91" s="252"/>
      <c r="AR91" s="252"/>
      <c r="AS91" s="252"/>
    </row>
    <row r="92" spans="18:45" x14ac:dyDescent="0.3">
      <c r="AD92" s="960">
        <f t="shared" si="32"/>
        <v>2034</v>
      </c>
      <c r="AE92" s="691">
        <f t="shared" si="33"/>
        <v>8487662741.7588015</v>
      </c>
      <c r="AF92" s="963">
        <f t="shared" si="34"/>
        <v>2.5000000000000001E-2</v>
      </c>
      <c r="AG92" s="691">
        <f t="shared" si="35"/>
        <v>212191568.54397005</v>
      </c>
      <c r="AI92" s="88"/>
      <c r="AJ92" s="88"/>
      <c r="AK92" s="88"/>
      <c r="AL92" s="252"/>
      <c r="AO92" s="252"/>
      <c r="AP92" s="252"/>
      <c r="AQ92" s="252"/>
      <c r="AR92" s="252"/>
      <c r="AS92" s="252"/>
    </row>
    <row r="93" spans="18:45" x14ac:dyDescent="0.3">
      <c r="AD93" s="960">
        <f t="shared" si="32"/>
        <v>2035</v>
      </c>
      <c r="AE93" s="691">
        <f t="shared" si="33"/>
        <v>8699854310.3027706</v>
      </c>
      <c r="AF93" s="963">
        <f t="shared" si="34"/>
        <v>2.5000000000000001E-2</v>
      </c>
      <c r="AG93" s="691">
        <f t="shared" si="35"/>
        <v>217496357.75756928</v>
      </c>
      <c r="AO93" s="252"/>
      <c r="AP93" s="252"/>
      <c r="AQ93" s="252"/>
      <c r="AR93" s="252"/>
      <c r="AS93" s="252"/>
    </row>
    <row r="94" spans="18:45" x14ac:dyDescent="0.3">
      <c r="AD94" s="960">
        <f t="shared" si="32"/>
        <v>2036</v>
      </c>
      <c r="AE94" s="691">
        <f t="shared" si="33"/>
        <v>8917350668.060339</v>
      </c>
      <c r="AF94" s="963">
        <f t="shared" si="34"/>
        <v>2.5000000000000001E-2</v>
      </c>
      <c r="AG94" s="691">
        <f t="shared" si="35"/>
        <v>222933766.70150849</v>
      </c>
      <c r="AO94" s="252"/>
      <c r="AP94" s="252"/>
      <c r="AQ94" s="252"/>
      <c r="AR94" s="252"/>
      <c r="AS94" s="252"/>
    </row>
    <row r="95" spans="18:45" x14ac:dyDescent="0.3">
      <c r="AD95" s="960">
        <f t="shared" si="32"/>
        <v>2037</v>
      </c>
      <c r="AE95" s="691">
        <f t="shared" si="33"/>
        <v>9140284434.7618465</v>
      </c>
      <c r="AF95" s="963">
        <f t="shared" si="34"/>
        <v>2.5000000000000001E-2</v>
      </c>
      <c r="AG95" s="691">
        <f t="shared" si="35"/>
        <v>228507110.86904618</v>
      </c>
      <c r="AO95" s="252"/>
      <c r="AP95" s="252"/>
      <c r="AQ95" s="252"/>
      <c r="AR95" s="252"/>
      <c r="AS95" s="252"/>
    </row>
    <row r="96" spans="18:45" x14ac:dyDescent="0.3">
      <c r="AD96" s="960">
        <f t="shared" si="32"/>
        <v>2038</v>
      </c>
      <c r="AE96" s="691">
        <f t="shared" si="33"/>
        <v>9368791545.6308918</v>
      </c>
      <c r="AF96" s="963">
        <f t="shared" si="34"/>
        <v>2.5000000000000001E-2</v>
      </c>
      <c r="AG96" s="691">
        <f t="shared" si="35"/>
        <v>234219788.64077231</v>
      </c>
      <c r="AO96" s="252"/>
      <c r="AP96" s="252"/>
      <c r="AQ96" s="252"/>
      <c r="AR96" s="252"/>
      <c r="AS96" s="252"/>
    </row>
    <row r="97" spans="30:45" x14ac:dyDescent="0.3">
      <c r="AD97" s="960">
        <f t="shared" si="32"/>
        <v>2039</v>
      </c>
      <c r="AE97" s="691">
        <f t="shared" si="33"/>
        <v>9603011334.2716637</v>
      </c>
      <c r="AF97" s="963">
        <f t="shared" si="34"/>
        <v>2.5000000000000001E-2</v>
      </c>
      <c r="AG97" s="691">
        <f t="shared" si="35"/>
        <v>240075283.35679162</v>
      </c>
      <c r="AO97" s="252"/>
      <c r="AP97" s="252"/>
      <c r="AQ97" s="252"/>
      <c r="AR97" s="252"/>
      <c r="AS97" s="252"/>
    </row>
    <row r="98" spans="30:45" x14ac:dyDescent="0.3">
      <c r="AD98" s="960">
        <f t="shared" si="32"/>
        <v>2040</v>
      </c>
      <c r="AE98" s="691">
        <f t="shared" si="33"/>
        <v>9843086617.6284561</v>
      </c>
      <c r="AF98" s="963">
        <f t="shared" si="34"/>
        <v>2.5000000000000001E-2</v>
      </c>
      <c r="AG98" s="691">
        <f t="shared" si="35"/>
        <v>246077165.44071141</v>
      </c>
    </row>
    <row r="99" spans="30:45" x14ac:dyDescent="0.3">
      <c r="AD99" s="960">
        <f t="shared" si="32"/>
        <v>2041</v>
      </c>
      <c r="AE99" s="691">
        <f t="shared" si="33"/>
        <v>10089163783.069168</v>
      </c>
      <c r="AF99" s="963">
        <f t="shared" si="34"/>
        <v>2.5000000000000001E-2</v>
      </c>
      <c r="AG99" s="691">
        <f t="shared" si="35"/>
        <v>252229094.57672921</v>
      </c>
    </row>
    <row r="100" spans="30:45" x14ac:dyDescent="0.3">
      <c r="AD100" s="960">
        <f t="shared" si="32"/>
        <v>2042</v>
      </c>
      <c r="AE100" s="691">
        <f t="shared" si="33"/>
        <v>10341392877.645897</v>
      </c>
      <c r="AF100" s="963">
        <f t="shared" si="34"/>
        <v>2.5000000000000001E-2</v>
      </c>
      <c r="AG100" s="691">
        <f t="shared" si="35"/>
        <v>258534821.94114745</v>
      </c>
    </row>
    <row r="101" spans="30:45" x14ac:dyDescent="0.3">
      <c r="AD101" s="960">
        <f t="shared" si="32"/>
        <v>2043</v>
      </c>
      <c r="AE101" s="691">
        <f t="shared" si="33"/>
        <v>10599927699.587044</v>
      </c>
      <c r="AF101" s="963">
        <f t="shared" si="34"/>
        <v>2.5000000000000001E-2</v>
      </c>
      <c r="AG101" s="691">
        <f t="shared" si="35"/>
        <v>264998192.48967612</v>
      </c>
    </row>
    <row r="102" spans="30:45" x14ac:dyDescent="0.3">
      <c r="AD102" s="960">
        <f t="shared" si="32"/>
        <v>2044</v>
      </c>
      <c r="AE102" s="691">
        <f t="shared" si="33"/>
        <v>10864925892.076719</v>
      </c>
      <c r="AF102" s="963">
        <f t="shared" si="34"/>
        <v>2.5000000000000001E-2</v>
      </c>
      <c r="AG102" s="691">
        <f t="shared" si="35"/>
        <v>271623147.30191797</v>
      </c>
    </row>
    <row r="103" spans="30:45" x14ac:dyDescent="0.3">
      <c r="AD103" s="960">
        <f t="shared" si="32"/>
        <v>2045</v>
      </c>
      <c r="AE103" s="691">
        <f t="shared" si="33"/>
        <v>11136549039.378637</v>
      </c>
      <c r="AF103" s="963">
        <f t="shared" si="34"/>
        <v>2.5000000000000001E-2</v>
      </c>
      <c r="AG103" s="691">
        <f t="shared" si="35"/>
        <v>278413725.98446596</v>
      </c>
    </row>
    <row r="104" spans="30:45" x14ac:dyDescent="0.3">
      <c r="AD104" s="960">
        <f t="shared" si="32"/>
        <v>2046</v>
      </c>
      <c r="AE104" s="691">
        <f t="shared" si="33"/>
        <v>11414962765.363104</v>
      </c>
      <c r="AF104" s="963">
        <f t="shared" si="34"/>
        <v>2.5000000000000001E-2</v>
      </c>
      <c r="AG104" s="691">
        <f t="shared" si="35"/>
        <v>285374069.13407761</v>
      </c>
    </row>
    <row r="105" spans="30:45" x14ac:dyDescent="0.3">
      <c r="AD105" s="960">
        <f t="shared" si="32"/>
        <v>2047</v>
      </c>
      <c r="AE105" s="691">
        <f t="shared" si="33"/>
        <v>11700336834.497181</v>
      </c>
      <c r="AF105" s="963">
        <f t="shared" si="34"/>
        <v>2.5000000000000001E-2</v>
      </c>
      <c r="AG105" s="691">
        <f t="shared" si="35"/>
        <v>292508420.86242956</v>
      </c>
    </row>
    <row r="106" spans="30:45" x14ac:dyDescent="0.3">
      <c r="AD106" s="960">
        <f t="shared" si="32"/>
        <v>2048</v>
      </c>
      <c r="AE106" s="691">
        <f t="shared" si="33"/>
        <v>11992845255.35961</v>
      </c>
      <c r="AF106" s="963">
        <f t="shared" si="34"/>
        <v>2.5000000000000001E-2</v>
      </c>
      <c r="AG106" s="691">
        <f t="shared" si="35"/>
        <v>299821131.38399023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E8F24-5CD6-47AB-BE80-74590534CE1B}">
  <dimension ref="A2:CG106"/>
  <sheetViews>
    <sheetView showGridLines="0" topLeftCell="AS17" workbookViewId="0">
      <selection activeCell="AV33" sqref="AV33"/>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9" width="20.21875" style="1" customWidth="1"/>
    <col min="40" max="40" width="8.88671875" style="1"/>
    <col min="41" max="41" width="21.33203125" style="1" bestFit="1" customWidth="1"/>
    <col min="42" max="42" width="8.88671875" style="1"/>
    <col min="43" max="43" width="19.109375" style="1" bestFit="1" customWidth="1"/>
    <col min="44" max="44" width="8.88671875" style="1"/>
    <col min="45" max="45" width="23.6640625" style="1" customWidth="1"/>
    <col min="46" max="46" width="9.44140625" style="1" bestFit="1" customWidth="1"/>
    <col min="47" max="47" width="36.44140625" style="1" customWidth="1"/>
    <col min="48" max="48" width="28" style="1" bestFit="1" customWidth="1"/>
    <col min="49" max="49" width="11.109375" style="1" bestFit="1" customWidth="1"/>
    <col min="50" max="50" width="22.109375" style="1" customWidth="1"/>
    <col min="51" max="51" width="35.6640625" style="1" customWidth="1"/>
    <col min="52" max="52" width="39.109375" style="1" bestFit="1" customWidth="1"/>
    <col min="53" max="53" width="20.5546875" style="1" bestFit="1" customWidth="1"/>
    <col min="54" max="54" width="24.21875" style="1" bestFit="1" customWidth="1"/>
    <col min="55" max="55" width="8.88671875" style="1"/>
    <col min="56" max="56" width="21.44140625" style="1" bestFit="1" customWidth="1"/>
    <col min="57" max="57" width="8.88671875" style="1"/>
    <col min="58" max="58" width="9.33203125" style="1" customWidth="1"/>
    <col min="59" max="60" width="8.88671875" style="1"/>
    <col min="61" max="61" width="8.88671875" style="1" customWidth="1"/>
    <col min="62" max="62" width="19.6640625" style="1" customWidth="1"/>
    <col min="63" max="63" width="11.109375" style="1" bestFit="1" customWidth="1"/>
    <col min="64" max="64" width="29.5546875" style="1" bestFit="1" customWidth="1"/>
    <col min="65" max="65" width="8.88671875" style="1"/>
    <col min="66" max="66" width="23.109375" style="1" bestFit="1" customWidth="1"/>
    <col min="67" max="67" width="16.88671875" style="12" customWidth="1"/>
    <col min="68" max="68" width="22.44140625" style="1" bestFit="1" customWidth="1"/>
    <col min="69" max="69" width="7.109375" style="1" customWidth="1"/>
    <col min="70" max="70" width="20.21875" style="1" customWidth="1"/>
    <col min="71" max="71" width="9.109375" style="12" customWidth="1"/>
    <col min="72" max="72" width="19.109375" style="1" bestFit="1" customWidth="1"/>
    <col min="73" max="74" width="8.88671875" style="1"/>
    <col min="75" max="75" width="20.6640625" style="1" customWidth="1"/>
    <col min="76" max="76" width="3.6640625" style="1" customWidth="1"/>
    <col min="77" max="78" width="21.88671875" style="1" customWidth="1"/>
    <col min="79" max="79" width="8" style="1" customWidth="1"/>
    <col min="80" max="80" width="21.44140625" style="1" customWidth="1"/>
    <col min="81" max="81" width="19.109375" style="1" bestFit="1" customWidth="1"/>
    <col min="82" max="82" width="25.33203125" style="690" customWidth="1"/>
    <col min="83" max="83" width="8.88671875" style="12"/>
    <col min="84" max="84" width="8.88671875" style="1"/>
    <col min="85" max="85" width="17.44140625" style="1" bestFit="1" customWidth="1"/>
    <col min="86" max="16384" width="8.88671875" style="1"/>
  </cols>
  <sheetData>
    <row r="2" spans="1:83"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O2" s="916"/>
      <c r="BS2" s="916"/>
      <c r="CD2" s="917"/>
      <c r="CE2" s="916"/>
    </row>
    <row r="3" spans="1:83" ht="25.95" customHeight="1" x14ac:dyDescent="0.5">
      <c r="C3" s="570" t="s">
        <v>1446</v>
      </c>
      <c r="F3" s="1081"/>
      <c r="G3" s="648"/>
      <c r="AV3" s="999" t="s">
        <v>1355</v>
      </c>
    </row>
    <row r="4" spans="1:83"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row>
    <row r="5" spans="1:83" ht="18.600000000000001" x14ac:dyDescent="0.45">
      <c r="C5" s="37" t="s">
        <v>972</v>
      </c>
      <c r="D5" s="619"/>
      <c r="E5" s="408">
        <f>E11</f>
        <v>5388616857.2367687</v>
      </c>
      <c r="F5" s="1082">
        <v>1</v>
      </c>
      <c r="G5" s="408">
        <f>E5*F5</f>
        <v>5388616857.2367687</v>
      </c>
      <c r="H5" s="409">
        <v>0.92</v>
      </c>
      <c r="I5" s="408">
        <f>G5*H5</f>
        <v>4957527508.6578274</v>
      </c>
      <c r="J5" s="409">
        <v>1</v>
      </c>
      <c r="K5" s="408">
        <f>I5*J5</f>
        <v>4957527508.6578274</v>
      </c>
      <c r="L5" s="409">
        <f>H5</f>
        <v>0.92</v>
      </c>
      <c r="M5" s="408">
        <f>K5*L5</f>
        <v>4560925307.9652014</v>
      </c>
      <c r="N5" s="409">
        <f>J5</f>
        <v>1</v>
      </c>
      <c r="O5" s="408">
        <f>M5*N5</f>
        <v>4560925307.9652014</v>
      </c>
      <c r="P5" s="409">
        <f>L5</f>
        <v>0.92</v>
      </c>
      <c r="Q5" s="408">
        <f>O5*P5</f>
        <v>4196051283.3279853</v>
      </c>
      <c r="R5" s="409">
        <f>N5</f>
        <v>1</v>
      </c>
      <c r="S5" s="408">
        <f>Q5*R5</f>
        <v>4196051283.3279853</v>
      </c>
      <c r="T5" s="409">
        <f>P5</f>
        <v>0.92</v>
      </c>
      <c r="U5" s="408">
        <f>S5*T5</f>
        <v>3860367180.6617465</v>
      </c>
      <c r="V5" s="409">
        <f>R5</f>
        <v>1</v>
      </c>
      <c r="W5" s="408">
        <f>U5*V5</f>
        <v>3860367180.6617465</v>
      </c>
      <c r="X5" s="409">
        <f>T5</f>
        <v>0.92</v>
      </c>
      <c r="Y5" s="408">
        <f>W5*X5</f>
        <v>3551537806.208807</v>
      </c>
      <c r="Z5" s="409">
        <f>V5</f>
        <v>1</v>
      </c>
      <c r="AA5" s="408">
        <f>Y5*Z5</f>
        <v>3551537806.208807</v>
      </c>
      <c r="AB5" s="409">
        <f>X5</f>
        <v>0.92</v>
      </c>
      <c r="AC5" s="408">
        <f>AA5*AB5</f>
        <v>3267414781.7121024</v>
      </c>
      <c r="AD5" s="409">
        <f>Z5</f>
        <v>1</v>
      </c>
      <c r="AE5" s="408">
        <f>AC5*AD5</f>
        <v>3267414781.7121024</v>
      </c>
      <c r="AF5" s="409">
        <f>AB5</f>
        <v>0.92</v>
      </c>
      <c r="AG5" s="408">
        <f>AE5*AF5</f>
        <v>3006021599.1751342</v>
      </c>
      <c r="AH5" s="409">
        <f>AD5</f>
        <v>1</v>
      </c>
      <c r="AI5" s="408">
        <f>AG5*AH5</f>
        <v>3006021599.1751342</v>
      </c>
      <c r="AJ5" s="409">
        <f>AF5</f>
        <v>0.92</v>
      </c>
      <c r="AK5" s="408">
        <f>AI5*AJ5</f>
        <v>2765539871.2411237</v>
      </c>
      <c r="AL5" s="409">
        <f>AH5</f>
        <v>1</v>
      </c>
      <c r="AM5" s="408">
        <f>AK5*AL5</f>
        <v>2765539871.2411237</v>
      </c>
      <c r="AN5" s="409">
        <f>AB5</f>
        <v>0.92</v>
      </c>
      <c r="AO5" s="408">
        <f>AM5*AN5</f>
        <v>2544296681.5418339</v>
      </c>
      <c r="AP5" s="409">
        <f>AD5</f>
        <v>1</v>
      </c>
      <c r="AQ5" s="408">
        <f>AO5*AP5</f>
        <v>2544296681.5418339</v>
      </c>
      <c r="AR5" s="409">
        <f>AN5</f>
        <v>0.92</v>
      </c>
      <c r="AS5" s="408">
        <f>AQ5*AR5</f>
        <v>2340752947.0184875</v>
      </c>
      <c r="AT5" s="409">
        <f>AP5</f>
        <v>1</v>
      </c>
      <c r="AU5" s="408">
        <f>AS5*AT5</f>
        <v>2340752947.0184875</v>
      </c>
      <c r="AV5" s="719">
        <f>G5+I5+M5+Q5+U5+Y5+AC5+AG5+AK5+AO5+AS5</f>
        <v>40439051824.747009</v>
      </c>
      <c r="AX5" s="621">
        <f>AR5</f>
        <v>0.92</v>
      </c>
      <c r="AY5" s="622">
        <f>AU5*AX5</f>
        <v>2153492711.2570086</v>
      </c>
      <c r="AZ5" s="626"/>
      <c r="BA5" s="626"/>
      <c r="BB5" s="627"/>
    </row>
    <row r="6" spans="1:83" x14ac:dyDescent="0.3">
      <c r="F6" s="1081"/>
      <c r="AV6" s="93"/>
      <c r="BB6" s="628"/>
    </row>
    <row r="7" spans="1:83"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462" t="s">
        <v>749</v>
      </c>
      <c r="AO7" s="170" t="s">
        <v>1456</v>
      </c>
      <c r="AP7" s="175" t="s">
        <v>297</v>
      </c>
      <c r="AQ7" s="170" t="s">
        <v>59</v>
      </c>
      <c r="AR7" s="301" t="s">
        <v>749</v>
      </c>
      <c r="AS7" s="121" t="s">
        <v>1458</v>
      </c>
      <c r="AT7" s="173" t="s">
        <v>297</v>
      </c>
      <c r="AU7" s="121" t="s">
        <v>59</v>
      </c>
      <c r="AV7" s="121" t="s">
        <v>1457</v>
      </c>
      <c r="AX7" s="588" t="s">
        <v>1367</v>
      </c>
      <c r="AY7" s="121" t="s">
        <v>1372</v>
      </c>
      <c r="BB7" s="628"/>
    </row>
    <row r="8" spans="1:83" x14ac:dyDescent="0.3">
      <c r="B8" s="584"/>
      <c r="C8" s="7"/>
      <c r="E8" s="875">
        <f>AV47</f>
        <v>10777233714.473537</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586" t="s">
        <v>1371</v>
      </c>
      <c r="AO8" s="470"/>
      <c r="AP8" s="471"/>
      <c r="AQ8" s="470"/>
      <c r="AR8" s="587" t="s">
        <v>1371</v>
      </c>
      <c r="AS8" s="303"/>
      <c r="AT8" s="179"/>
      <c r="AU8" s="303"/>
      <c r="AV8" s="126"/>
      <c r="AX8" s="589" t="s">
        <v>1371</v>
      </c>
      <c r="AY8" s="303"/>
      <c r="BB8" s="628"/>
    </row>
    <row r="9" spans="1:83" ht="16.2" thickBot="1" x14ac:dyDescent="0.35">
      <c r="B9" s="585" t="s">
        <v>943</v>
      </c>
      <c r="C9" s="1078">
        <v>8</v>
      </c>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122"/>
      <c r="AS9" s="459" t="s">
        <v>282</v>
      </c>
      <c r="AT9" s="122"/>
      <c r="AU9" s="8"/>
      <c r="AV9" s="126"/>
      <c r="AX9" s="122"/>
      <c r="AY9" s="459" t="s">
        <v>282</v>
      </c>
      <c r="BB9" s="628"/>
    </row>
    <row r="10" spans="1:83" ht="16.2" thickBot="1" x14ac:dyDescent="0.35">
      <c r="B10" s="585" t="s">
        <v>944</v>
      </c>
      <c r="C10" s="1211">
        <v>0.05</v>
      </c>
      <c r="D10" s="630" t="s">
        <v>953</v>
      </c>
      <c r="E10" s="994">
        <f>AW53</f>
        <v>512</v>
      </c>
      <c r="F10" s="1085">
        <v>0.25</v>
      </c>
      <c r="G10" s="130">
        <f>E14*F10</f>
        <v>149740768.45565671</v>
      </c>
      <c r="H10" s="460">
        <v>0.5</v>
      </c>
      <c r="I10" s="130">
        <f>G10*H10</f>
        <v>74870384.227828354</v>
      </c>
      <c r="J10" s="460">
        <v>1</v>
      </c>
      <c r="K10" s="458">
        <f>I10*J10</f>
        <v>74870384.227828354</v>
      </c>
      <c r="L10" s="129">
        <f>H10</f>
        <v>0.5</v>
      </c>
      <c r="M10" s="458">
        <f>K10*L10</f>
        <v>37435192.113914177</v>
      </c>
      <c r="N10" s="129">
        <f>J10</f>
        <v>1</v>
      </c>
      <c r="O10" s="458">
        <f>M10*N10</f>
        <v>37435192.113914177</v>
      </c>
      <c r="P10" s="129">
        <f>L10</f>
        <v>0.5</v>
      </c>
      <c r="Q10" s="458">
        <f>O10*P10</f>
        <v>18717596.056957088</v>
      </c>
      <c r="R10" s="129">
        <f>N10</f>
        <v>1</v>
      </c>
      <c r="S10" s="458">
        <f>Q10*R10</f>
        <v>18717596.056957088</v>
      </c>
      <c r="T10" s="129">
        <f>P10</f>
        <v>0.5</v>
      </c>
      <c r="U10" s="458">
        <f>S10*T10</f>
        <v>9358798.0284785442</v>
      </c>
      <c r="V10" s="129">
        <f>R10</f>
        <v>1</v>
      </c>
      <c r="W10" s="458">
        <f>U10*V10</f>
        <v>9358798.0284785442</v>
      </c>
      <c r="X10" s="129">
        <f>T10</f>
        <v>0.5</v>
      </c>
      <c r="Y10" s="458">
        <f>W10*X10</f>
        <v>4679399.0142392721</v>
      </c>
      <c r="Z10" s="129">
        <f>V10</f>
        <v>1</v>
      </c>
      <c r="AA10" s="458">
        <f>Y10*Z10</f>
        <v>4679399.0142392721</v>
      </c>
      <c r="AB10" s="129">
        <f>X10</f>
        <v>0.5</v>
      </c>
      <c r="AC10" s="458">
        <f>AA10*AB10</f>
        <v>2339699.5071196361</v>
      </c>
      <c r="AD10" s="129">
        <f>Z10</f>
        <v>1</v>
      </c>
      <c r="AE10" s="458">
        <f>AC10*AD10</f>
        <v>2339699.5071196361</v>
      </c>
      <c r="AF10" s="129">
        <f>AB10</f>
        <v>0.5</v>
      </c>
      <c r="AG10" s="458">
        <f>AE10*AF10</f>
        <v>1169849.753559818</v>
      </c>
      <c r="AH10" s="129">
        <f>AD10</f>
        <v>1</v>
      </c>
      <c r="AI10" s="458">
        <f>AG10*AH10</f>
        <v>1169849.753559818</v>
      </c>
      <c r="AJ10" s="129">
        <f>AF10</f>
        <v>0.5</v>
      </c>
      <c r="AK10" s="458">
        <f>AI10*AJ10</f>
        <v>584924.87677990901</v>
      </c>
      <c r="AL10" s="129">
        <f>AH10</f>
        <v>1</v>
      </c>
      <c r="AM10" s="458">
        <f>AK10*AL10</f>
        <v>584924.87677990901</v>
      </c>
      <c r="AN10" s="129">
        <f>AB10</f>
        <v>0.5</v>
      </c>
      <c r="AO10" s="458">
        <f>AM10*AN10</f>
        <v>292462.43838995451</v>
      </c>
      <c r="AP10" s="129">
        <f>AD10</f>
        <v>1</v>
      </c>
      <c r="AQ10" s="458">
        <f>AO10*AP10</f>
        <v>292462.43838995451</v>
      </c>
      <c r="AR10" s="129">
        <f>AN10</f>
        <v>0.5</v>
      </c>
      <c r="AS10" s="458">
        <f>AQ10*AR10</f>
        <v>146231.21919497725</v>
      </c>
      <c r="AT10" s="129">
        <f>AP10</f>
        <v>1</v>
      </c>
      <c r="AU10" s="458">
        <f>AS10*AT10</f>
        <v>146231.21919497725</v>
      </c>
      <c r="AV10" s="719">
        <f>G10+I10+M10+Q10+U10+Y10+AC10+AG10+AK10+AO10+AS10</f>
        <v>299335305.69211841</v>
      </c>
      <c r="AX10" s="590">
        <f>AR10</f>
        <v>0.5</v>
      </c>
      <c r="AY10" s="458">
        <f>AU10*AX10</f>
        <v>73115.609597488627</v>
      </c>
      <c r="AZ10" s="623"/>
      <c r="BA10" s="624"/>
      <c r="BB10" s="628"/>
    </row>
    <row r="11" spans="1:83" ht="16.2" thickBot="1" x14ac:dyDescent="0.35">
      <c r="B11" s="585" t="s">
        <v>945</v>
      </c>
      <c r="C11" s="1078">
        <v>2025</v>
      </c>
      <c r="D11" s="630" t="s">
        <v>1291</v>
      </c>
      <c r="E11" s="631">
        <f>E8/2</f>
        <v>5388616857.2367687</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122"/>
      <c r="AS11" s="457" t="s">
        <v>283</v>
      </c>
      <c r="AT11" s="122"/>
      <c r="AU11" s="8"/>
      <c r="AV11" s="126"/>
      <c r="AX11" s="122"/>
      <c r="AY11" s="457" t="s">
        <v>283</v>
      </c>
      <c r="AZ11" s="623"/>
      <c r="BA11" s="623"/>
      <c r="BB11" s="628"/>
    </row>
    <row r="12" spans="1:83" ht="16.2" thickBot="1" x14ac:dyDescent="0.35">
      <c r="B12" s="584"/>
      <c r="E12" s="997">
        <f>E9*E10</f>
        <v>0</v>
      </c>
      <c r="F12" s="1086">
        <v>0.25</v>
      </c>
      <c r="G12" s="135">
        <f>E14*F12</f>
        <v>149740768.45565671</v>
      </c>
      <c r="H12" s="461">
        <v>0.92</v>
      </c>
      <c r="I12" s="135">
        <f>G12*H12</f>
        <v>137761506.97920418</v>
      </c>
      <c r="J12" s="461">
        <v>1</v>
      </c>
      <c r="K12" s="440">
        <f>I12*J12</f>
        <v>137761506.97920418</v>
      </c>
      <c r="L12" s="133">
        <f>H12</f>
        <v>0.92</v>
      </c>
      <c r="M12" s="440">
        <f>K12*L12</f>
        <v>126740586.42086785</v>
      </c>
      <c r="N12" s="133">
        <f>J12</f>
        <v>1</v>
      </c>
      <c r="O12" s="440">
        <f>M12*N12</f>
        <v>126740586.42086785</v>
      </c>
      <c r="P12" s="133">
        <f>L12</f>
        <v>0.92</v>
      </c>
      <c r="Q12" s="440">
        <f>O12*P12</f>
        <v>116601339.50719842</v>
      </c>
      <c r="R12" s="133">
        <f>N12</f>
        <v>1</v>
      </c>
      <c r="S12" s="440">
        <f>Q12*R12</f>
        <v>116601339.50719842</v>
      </c>
      <c r="T12" s="133">
        <f>P12</f>
        <v>0.92</v>
      </c>
      <c r="U12" s="440">
        <f>S12*T12</f>
        <v>107273232.34662256</v>
      </c>
      <c r="V12" s="133">
        <f>R12</f>
        <v>1</v>
      </c>
      <c r="W12" s="440">
        <f>U12*V12</f>
        <v>107273232.34662256</v>
      </c>
      <c r="X12" s="133">
        <f>T12</f>
        <v>0.92</v>
      </c>
      <c r="Y12" s="440">
        <f>W12*X12</f>
        <v>98691373.75889276</v>
      </c>
      <c r="Z12" s="133">
        <f>V12</f>
        <v>1</v>
      </c>
      <c r="AA12" s="440">
        <f>Y12*Z12</f>
        <v>98691373.75889276</v>
      </c>
      <c r="AB12" s="133">
        <f>X12</f>
        <v>0.92</v>
      </c>
      <c r="AC12" s="440">
        <f>AA12*AB12</f>
        <v>90796063.858181342</v>
      </c>
      <c r="AD12" s="133">
        <f>Z12</f>
        <v>1</v>
      </c>
      <c r="AE12" s="440">
        <f>AC12*AD12</f>
        <v>90796063.858181342</v>
      </c>
      <c r="AF12" s="133">
        <f>AB12</f>
        <v>0.92</v>
      </c>
      <c r="AG12" s="440">
        <f>AE12*AF12</f>
        <v>83532378.749526843</v>
      </c>
      <c r="AH12" s="133">
        <f>AD12</f>
        <v>1</v>
      </c>
      <c r="AI12" s="440">
        <f>AG12*AH12</f>
        <v>83532378.749526843</v>
      </c>
      <c r="AJ12" s="133">
        <f>AF12</f>
        <v>0.92</v>
      </c>
      <c r="AK12" s="440">
        <f>AI12*AJ12</f>
        <v>76849788.449564695</v>
      </c>
      <c r="AL12" s="133">
        <f>AH12</f>
        <v>1</v>
      </c>
      <c r="AM12" s="440">
        <f>AK12*AL12</f>
        <v>76849788.449564695</v>
      </c>
      <c r="AN12" s="133">
        <f>AB12</f>
        <v>0.92</v>
      </c>
      <c r="AO12" s="440">
        <f>AM12*AN12</f>
        <v>70701805.373599529</v>
      </c>
      <c r="AP12" s="133">
        <f>AD12</f>
        <v>1</v>
      </c>
      <c r="AQ12" s="440">
        <f>AO12*AP12</f>
        <v>70701805.373599529</v>
      </c>
      <c r="AR12" s="133">
        <f>AN12</f>
        <v>0.92</v>
      </c>
      <c r="AS12" s="440">
        <f>AQ12*AR12</f>
        <v>65045660.943711571</v>
      </c>
      <c r="AT12" s="133">
        <f>AP12</f>
        <v>1</v>
      </c>
      <c r="AU12" s="440">
        <f>AS12*AT12</f>
        <v>65045660.943711571</v>
      </c>
      <c r="AV12" s="719">
        <f>G12+I12+M12+Q12+U12+Y12+AC12+AG12+AK12+AO12+AS12</f>
        <v>1123734504.8430266</v>
      </c>
      <c r="AX12" s="591">
        <f>AR12</f>
        <v>0.92</v>
      </c>
      <c r="AY12" s="440">
        <f>AU12*AX12</f>
        <v>59842008.068214647</v>
      </c>
      <c r="AZ12" s="623"/>
      <c r="BA12" s="624"/>
      <c r="BB12" s="628"/>
    </row>
    <row r="13" spans="1:83"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122"/>
      <c r="AS13" s="451" t="s">
        <v>284</v>
      </c>
      <c r="AT13" s="122"/>
      <c r="AU13" s="8"/>
      <c r="AV13" s="126"/>
      <c r="AX13" s="122"/>
      <c r="AY13" s="451" t="s">
        <v>284</v>
      </c>
      <c r="AZ13" s="623"/>
      <c r="BA13" s="623"/>
      <c r="BB13" s="628"/>
    </row>
    <row r="14" spans="1:83" ht="16.2" thickBot="1" x14ac:dyDescent="0.35">
      <c r="A14" s="162"/>
      <c r="B14" s="162"/>
      <c r="C14" s="137" t="s">
        <v>291</v>
      </c>
      <c r="D14" s="1212">
        <v>0.111153397929607</v>
      </c>
      <c r="E14" s="139">
        <f>E11*D14</f>
        <v>598963073.82262683</v>
      </c>
      <c r="F14" s="1088">
        <v>0.5</v>
      </c>
      <c r="G14" s="139">
        <f>E14*F14</f>
        <v>299481536.91131341</v>
      </c>
      <c r="H14" s="463">
        <v>0.92</v>
      </c>
      <c r="I14" s="139">
        <f>G14*H14</f>
        <v>275523013.95840836</v>
      </c>
      <c r="J14" s="463">
        <v>1</v>
      </c>
      <c r="K14" s="441">
        <f>I14*J14</f>
        <v>275523013.95840836</v>
      </c>
      <c r="L14" s="140">
        <f>H14</f>
        <v>0.92</v>
      </c>
      <c r="M14" s="441">
        <f>K14*L14</f>
        <v>253481172.84173569</v>
      </c>
      <c r="N14" s="140">
        <f>J14</f>
        <v>1</v>
      </c>
      <c r="O14" s="441">
        <f>M14*N14</f>
        <v>253481172.84173569</v>
      </c>
      <c r="P14" s="140">
        <f>L14</f>
        <v>0.92</v>
      </c>
      <c r="Q14" s="441">
        <f>O14*P14</f>
        <v>233202679.01439685</v>
      </c>
      <c r="R14" s="140">
        <f>N14</f>
        <v>1</v>
      </c>
      <c r="S14" s="441">
        <f>Q14*R14</f>
        <v>233202679.01439685</v>
      </c>
      <c r="T14" s="140">
        <f>P14</f>
        <v>0.92</v>
      </c>
      <c r="U14" s="441">
        <f>S14*T14</f>
        <v>214546464.69324511</v>
      </c>
      <c r="V14" s="140">
        <f>R14</f>
        <v>1</v>
      </c>
      <c r="W14" s="441">
        <f>U14*V14</f>
        <v>214546464.69324511</v>
      </c>
      <c r="X14" s="140">
        <f>T14</f>
        <v>0.92</v>
      </c>
      <c r="Y14" s="441">
        <f>W14*X14</f>
        <v>197382747.51778552</v>
      </c>
      <c r="Z14" s="140">
        <f>V14</f>
        <v>1</v>
      </c>
      <c r="AA14" s="441">
        <f>Y14*Z14</f>
        <v>197382747.51778552</v>
      </c>
      <c r="AB14" s="140">
        <f>X14</f>
        <v>0.92</v>
      </c>
      <c r="AC14" s="441">
        <f>AA14*AB14</f>
        <v>181592127.71636268</v>
      </c>
      <c r="AD14" s="140">
        <f>Z14</f>
        <v>1</v>
      </c>
      <c r="AE14" s="441">
        <f>AC14*AD14</f>
        <v>181592127.71636268</v>
      </c>
      <c r="AF14" s="140">
        <f>AB14</f>
        <v>0.92</v>
      </c>
      <c r="AG14" s="441">
        <f>AE14*AF14</f>
        <v>167064757.49905369</v>
      </c>
      <c r="AH14" s="140">
        <f>AD14</f>
        <v>1</v>
      </c>
      <c r="AI14" s="441">
        <f>AG14*AH14</f>
        <v>167064757.49905369</v>
      </c>
      <c r="AJ14" s="140">
        <f>AF14</f>
        <v>0.92</v>
      </c>
      <c r="AK14" s="441">
        <f>AI14*AJ14</f>
        <v>153699576.89912939</v>
      </c>
      <c r="AL14" s="140">
        <f>AH14</f>
        <v>1</v>
      </c>
      <c r="AM14" s="441">
        <f>AK14*AL14</f>
        <v>153699576.89912939</v>
      </c>
      <c r="AN14" s="140">
        <f>AB14</f>
        <v>0.92</v>
      </c>
      <c r="AO14" s="441">
        <f>AM14*AN14</f>
        <v>141403610.74719906</v>
      </c>
      <c r="AP14" s="140">
        <f>AD14</f>
        <v>1</v>
      </c>
      <c r="AQ14" s="441">
        <f>AO14*AP14</f>
        <v>141403610.74719906</v>
      </c>
      <c r="AR14" s="140">
        <f>AN14</f>
        <v>0.92</v>
      </c>
      <c r="AS14" s="441">
        <f>AQ14*AR14</f>
        <v>130091321.88742314</v>
      </c>
      <c r="AT14" s="140">
        <f>AP14</f>
        <v>1</v>
      </c>
      <c r="AU14" s="441">
        <f>AS14*AT14</f>
        <v>130091321.88742314</v>
      </c>
      <c r="AV14" s="719">
        <f>G14+I14+M14+Q14+U14+Y14+AC14+AG14+AK14+AO14+AS14</f>
        <v>2247469009.6860533</v>
      </c>
      <c r="AX14" s="592">
        <f>AR14</f>
        <v>0.92</v>
      </c>
      <c r="AY14" s="441">
        <f>AU14*AX14</f>
        <v>119684016.13642929</v>
      </c>
      <c r="AZ14" s="623"/>
      <c r="BA14" s="624"/>
      <c r="BB14" s="628"/>
    </row>
    <row r="15" spans="1:83"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122"/>
      <c r="AS15" s="8"/>
      <c r="AT15" s="122"/>
      <c r="AU15" s="8"/>
      <c r="AV15" s="126"/>
      <c r="AX15" s="122"/>
      <c r="AY15" s="8"/>
      <c r="AZ15" s="623"/>
      <c r="BA15" s="623"/>
      <c r="BB15" s="628"/>
    </row>
    <row r="16" spans="1:83"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455"/>
      <c r="AS16" s="454" t="s">
        <v>744</v>
      </c>
      <c r="AT16" s="141"/>
      <c r="AU16" s="164"/>
      <c r="AV16" s="126"/>
      <c r="AX16" s="455"/>
      <c r="AY16" s="454" t="s">
        <v>744</v>
      </c>
      <c r="AZ16" s="625"/>
      <c r="BA16" s="625"/>
      <c r="BB16" s="628"/>
      <c r="BO16" s="233"/>
      <c r="BS16" s="233"/>
      <c r="CD16" s="345"/>
      <c r="CE16" s="233"/>
    </row>
    <row r="17" spans="1:85" ht="16.2" thickBot="1" x14ac:dyDescent="0.35">
      <c r="A17" s="18"/>
      <c r="B17" s="18"/>
      <c r="C17" s="397" t="s">
        <v>276</v>
      </c>
      <c r="D17" s="1213">
        <f>100%-D14-D21</f>
        <v>0.5625</v>
      </c>
      <c r="E17" s="399">
        <f>E11*D17</f>
        <v>3031096982.1956825</v>
      </c>
      <c r="F17" s="1090">
        <v>1</v>
      </c>
      <c r="G17" s="399">
        <f>E17*F17</f>
        <v>3031096982.1956825</v>
      </c>
      <c r="H17" s="464">
        <v>0.92</v>
      </c>
      <c r="I17" s="399">
        <f>G17*H17</f>
        <v>2788609223.620028</v>
      </c>
      <c r="J17" s="464">
        <v>1</v>
      </c>
      <c r="K17" s="453">
        <f>I17*J17</f>
        <v>2788609223.620028</v>
      </c>
      <c r="L17" s="400">
        <f>H17</f>
        <v>0.92</v>
      </c>
      <c r="M17" s="453">
        <f>K17*L17</f>
        <v>2565520485.7304258</v>
      </c>
      <c r="N17" s="400">
        <f>J17</f>
        <v>1</v>
      </c>
      <c r="O17" s="453">
        <f>M17*N17</f>
        <v>2565520485.7304258</v>
      </c>
      <c r="P17" s="400">
        <f>L17</f>
        <v>0.92</v>
      </c>
      <c r="Q17" s="453">
        <f>O17*P17</f>
        <v>2360278846.8719916</v>
      </c>
      <c r="R17" s="400">
        <f>N17</f>
        <v>1</v>
      </c>
      <c r="S17" s="453">
        <f>Q17*R17</f>
        <v>2360278846.8719916</v>
      </c>
      <c r="T17" s="400">
        <f>P17</f>
        <v>0.92</v>
      </c>
      <c r="U17" s="453">
        <f>S17*T17</f>
        <v>2171456539.1222324</v>
      </c>
      <c r="V17" s="400">
        <f>R17</f>
        <v>1</v>
      </c>
      <c r="W17" s="453">
        <f>U17*V17</f>
        <v>2171456539.1222324</v>
      </c>
      <c r="X17" s="400">
        <f>T17</f>
        <v>0.92</v>
      </c>
      <c r="Y17" s="453">
        <f>W17*X17</f>
        <v>1997740015.9924538</v>
      </c>
      <c r="Z17" s="400">
        <f>V17</f>
        <v>1</v>
      </c>
      <c r="AA17" s="453">
        <f>Y17*Z17</f>
        <v>1997740015.9924538</v>
      </c>
      <c r="AB17" s="400">
        <f>X17</f>
        <v>0.92</v>
      </c>
      <c r="AC17" s="453">
        <f>AA17*AB17</f>
        <v>1837920814.7130575</v>
      </c>
      <c r="AD17" s="400">
        <f>Z17</f>
        <v>1</v>
      </c>
      <c r="AE17" s="453">
        <f>AC17*AD17</f>
        <v>1837920814.7130575</v>
      </c>
      <c r="AF17" s="400">
        <f>AB17</f>
        <v>0.92</v>
      </c>
      <c r="AG17" s="453">
        <f>AE17*AF17</f>
        <v>1690887149.5360129</v>
      </c>
      <c r="AH17" s="400">
        <f>AD17</f>
        <v>1</v>
      </c>
      <c r="AI17" s="453">
        <f>AG17*AH17</f>
        <v>1690887149.5360129</v>
      </c>
      <c r="AJ17" s="400">
        <f>AF17</f>
        <v>0.92</v>
      </c>
      <c r="AK17" s="453">
        <f>AI17*AJ17</f>
        <v>1555616177.573132</v>
      </c>
      <c r="AL17" s="400">
        <f>AH17</f>
        <v>1</v>
      </c>
      <c r="AM17" s="453">
        <f>AK17*AL17</f>
        <v>1555616177.573132</v>
      </c>
      <c r="AN17" s="400">
        <f>AB17</f>
        <v>0.92</v>
      </c>
      <c r="AO17" s="453">
        <f>AM17*AN17</f>
        <v>1431166883.3672814</v>
      </c>
      <c r="AP17" s="400">
        <f>AD17</f>
        <v>1</v>
      </c>
      <c r="AQ17" s="453">
        <f>AO17*AP17</f>
        <v>1431166883.3672814</v>
      </c>
      <c r="AR17" s="400">
        <f>AN17</f>
        <v>0.92</v>
      </c>
      <c r="AS17" s="453">
        <f>AQ17*AR17</f>
        <v>1316673532.6978989</v>
      </c>
      <c r="AT17" s="400">
        <f>AP17</f>
        <v>1</v>
      </c>
      <c r="AU17" s="453">
        <f>AS17*AT17</f>
        <v>1316673532.6978989</v>
      </c>
      <c r="AV17" s="719">
        <f>G17+I17+M17+Q17+U17+Y17+AC17+AG17+AK17+AO17+AS17</f>
        <v>22746966651.4202</v>
      </c>
      <c r="AX17" s="593">
        <f>AR17</f>
        <v>0.92</v>
      </c>
      <c r="AY17" s="453">
        <f>AU17*AX17</f>
        <v>1211339650.082067</v>
      </c>
      <c r="AZ17" s="623"/>
      <c r="BA17" s="624"/>
      <c r="BB17" s="628"/>
      <c r="BR17" s="974" t="s">
        <v>872</v>
      </c>
      <c r="BT17" s="974" t="s">
        <v>872</v>
      </c>
      <c r="BW17" s="974" t="s">
        <v>872</v>
      </c>
    </row>
    <row r="18" spans="1:85"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122"/>
      <c r="AS18" s="8"/>
      <c r="AT18" s="122"/>
      <c r="AU18" s="8"/>
      <c r="AV18" s="126"/>
      <c r="AX18" s="122"/>
      <c r="AY18" s="8"/>
      <c r="AZ18" s="623"/>
      <c r="BA18" s="623"/>
      <c r="BB18" s="628"/>
      <c r="BR18" s="974" t="s">
        <v>5</v>
      </c>
      <c r="BT18" s="974" t="s">
        <v>7</v>
      </c>
      <c r="BW18" s="77" t="s">
        <v>968</v>
      </c>
    </row>
    <row r="19" spans="1:85"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122"/>
      <c r="AS19" s="8"/>
      <c r="AT19" s="122"/>
      <c r="AU19" s="8"/>
      <c r="AV19" s="126"/>
      <c r="AX19" s="122"/>
      <c r="AY19" s="8"/>
      <c r="AZ19" s="623"/>
      <c r="BA19" s="623"/>
      <c r="BB19" s="628"/>
      <c r="BE19" s="473"/>
      <c r="BF19" s="473"/>
      <c r="BG19" s="473"/>
      <c r="BH19" s="473"/>
      <c r="BI19" s="473"/>
      <c r="BJ19" s="473"/>
      <c r="BK19" s="473"/>
      <c r="BL19" s="473"/>
      <c r="BM19" s="473"/>
      <c r="BN19" s="473"/>
      <c r="BO19" s="970"/>
      <c r="BP19" s="485"/>
      <c r="BQ19" s="485"/>
      <c r="BR19" s="485" t="s">
        <v>961</v>
      </c>
      <c r="BS19" s="485" t="s">
        <v>967</v>
      </c>
      <c r="BT19" s="485" t="s">
        <v>59</v>
      </c>
      <c r="BU19" s="485" t="s">
        <v>1343</v>
      </c>
      <c r="BV19" s="485" t="s">
        <v>1344</v>
      </c>
      <c r="BW19" s="485"/>
      <c r="BX19" s="473"/>
      <c r="BY19" s="485" t="s">
        <v>966</v>
      </c>
      <c r="BZ19" s="485" t="s">
        <v>974</v>
      </c>
      <c r="CA19" s="485" t="s">
        <v>965</v>
      </c>
      <c r="CB19" s="485" t="s">
        <v>965</v>
      </c>
      <c r="CC19" s="485" t="s">
        <v>1345</v>
      </c>
      <c r="CD19" s="305" t="s">
        <v>1286</v>
      </c>
      <c r="CE19" s="304"/>
    </row>
    <row r="20" spans="1:85"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122"/>
      <c r="AS20" s="450" t="s">
        <v>285</v>
      </c>
      <c r="AT20" s="122"/>
      <c r="AU20" s="8"/>
      <c r="AV20" s="126"/>
      <c r="AX20" s="122"/>
      <c r="AY20" s="450" t="s">
        <v>285</v>
      </c>
      <c r="AZ20" s="623"/>
      <c r="BA20" s="623"/>
      <c r="BB20" s="628"/>
      <c r="BE20" s="473"/>
      <c r="BF20" s="473"/>
      <c r="BG20" s="473"/>
      <c r="BH20" s="473"/>
      <c r="BI20" s="473"/>
      <c r="BJ20" s="473"/>
      <c r="BK20" s="473"/>
      <c r="BL20" s="473"/>
      <c r="BM20" s="473"/>
      <c r="BN20" s="473"/>
      <c r="BO20" s="970"/>
      <c r="BP20" s="485"/>
      <c r="BQ20" s="485"/>
      <c r="BR20" s="971">
        <f>'POP Dimensions'!C15</f>
        <v>10737418.24</v>
      </c>
      <c r="BS20" s="954">
        <v>64</v>
      </c>
      <c r="BT20" s="972">
        <f>BS20*BR20</f>
        <v>687194767.36000001</v>
      </c>
      <c r="BU20" s="954">
        <v>16</v>
      </c>
      <c r="BV20" s="954"/>
      <c r="BW20" s="971">
        <f>BT20*BU20</f>
        <v>10995116277.76</v>
      </c>
      <c r="BX20" s="473"/>
      <c r="BY20" s="485" t="s">
        <v>785</v>
      </c>
      <c r="BZ20" s="485"/>
      <c r="CA20" s="485" t="s">
        <v>962</v>
      </c>
      <c r="CB20" s="485" t="s">
        <v>1341</v>
      </c>
      <c r="CC20" s="485" t="s">
        <v>1342</v>
      </c>
      <c r="CD20" s="305"/>
      <c r="CE20" s="304"/>
    </row>
    <row r="21" spans="1:85" ht="16.2" thickBot="1" x14ac:dyDescent="0.35">
      <c r="C21" s="149" t="s">
        <v>737</v>
      </c>
      <c r="D21" s="1214">
        <v>0.32634660207039301</v>
      </c>
      <c r="E21" s="151">
        <f>E11*D21</f>
        <v>1758556801.2184596</v>
      </c>
      <c r="F21" s="1092">
        <v>0.3</v>
      </c>
      <c r="G21" s="151">
        <f>E21*F21</f>
        <v>527567040.36553788</v>
      </c>
      <c r="H21" s="465">
        <v>0.92</v>
      </c>
      <c r="I21" s="151">
        <f>G21*H21</f>
        <v>485361677.1362949</v>
      </c>
      <c r="J21" s="465">
        <v>1</v>
      </c>
      <c r="K21" s="444">
        <f>I21*J21</f>
        <v>485361677.1362949</v>
      </c>
      <c r="L21" s="152">
        <f>H21</f>
        <v>0.92</v>
      </c>
      <c r="M21" s="444">
        <f>K21*L21</f>
        <v>446532742.96539134</v>
      </c>
      <c r="N21" s="152">
        <f>J21</f>
        <v>1</v>
      </c>
      <c r="O21" s="444">
        <f>M21*N21</f>
        <v>446532742.96539134</v>
      </c>
      <c r="P21" s="152">
        <f>L21</f>
        <v>0.92</v>
      </c>
      <c r="Q21" s="444">
        <f>O21*P21</f>
        <v>410810123.52816004</v>
      </c>
      <c r="R21" s="152">
        <f>N21</f>
        <v>1</v>
      </c>
      <c r="S21" s="444">
        <f>Q21*R21</f>
        <v>410810123.52816004</v>
      </c>
      <c r="T21" s="152">
        <f>P21</f>
        <v>0.92</v>
      </c>
      <c r="U21" s="444">
        <f>S21*T21</f>
        <v>377945313.64590722</v>
      </c>
      <c r="V21" s="152">
        <f>R21</f>
        <v>1</v>
      </c>
      <c r="W21" s="444">
        <f>U21*V21</f>
        <v>377945313.64590722</v>
      </c>
      <c r="X21" s="152">
        <f>T21</f>
        <v>0.92</v>
      </c>
      <c r="Y21" s="444">
        <f>W21*X21</f>
        <v>347709688.55423468</v>
      </c>
      <c r="Z21" s="152">
        <f>V21</f>
        <v>1</v>
      </c>
      <c r="AA21" s="444">
        <f>Y21*Z21</f>
        <v>347709688.55423468</v>
      </c>
      <c r="AB21" s="152">
        <f>X21</f>
        <v>0.92</v>
      </c>
      <c r="AC21" s="444">
        <f>AA21*AB21</f>
        <v>319892913.4698959</v>
      </c>
      <c r="AD21" s="152">
        <f>Z21</f>
        <v>1</v>
      </c>
      <c r="AE21" s="444">
        <f>AC21*AD21</f>
        <v>319892913.4698959</v>
      </c>
      <c r="AF21" s="152">
        <f>AB21</f>
        <v>0.92</v>
      </c>
      <c r="AG21" s="444">
        <f>AE21*AF21</f>
        <v>294301480.39230424</v>
      </c>
      <c r="AH21" s="152">
        <f>AD21</f>
        <v>1</v>
      </c>
      <c r="AI21" s="444">
        <f>AG21*AH21</f>
        <v>294301480.39230424</v>
      </c>
      <c r="AJ21" s="152">
        <f>AF21</f>
        <v>0.92</v>
      </c>
      <c r="AK21" s="444">
        <f>AI21*AJ21</f>
        <v>270757361.96091992</v>
      </c>
      <c r="AL21" s="152">
        <f>AH21</f>
        <v>1</v>
      </c>
      <c r="AM21" s="444">
        <f>AK21*AL21</f>
        <v>270757361.96091992</v>
      </c>
      <c r="AN21" s="152">
        <f>AB21</f>
        <v>0.92</v>
      </c>
      <c r="AO21" s="444">
        <f>AM21*AN21</f>
        <v>249096773.00404632</v>
      </c>
      <c r="AP21" s="152">
        <f>AD21</f>
        <v>1</v>
      </c>
      <c r="AQ21" s="444">
        <f>AO21*AP21</f>
        <v>249096773.00404632</v>
      </c>
      <c r="AR21" s="152">
        <f>AN21</f>
        <v>0.92</v>
      </c>
      <c r="AS21" s="444">
        <f>AQ21*AR21</f>
        <v>229169031.16372263</v>
      </c>
      <c r="AT21" s="152">
        <f>AP21</f>
        <v>1</v>
      </c>
      <c r="AU21" s="444">
        <f>AS21*AT21</f>
        <v>229169031.16372263</v>
      </c>
      <c r="AV21" s="719">
        <f>G21+I21+M21+Q21+U21+Y21+AC21+AG21+AK21+AO21+AS21</f>
        <v>3959144146.1864152</v>
      </c>
      <c r="AX21" s="594">
        <f>AR21</f>
        <v>0.92</v>
      </c>
      <c r="AY21" s="444">
        <f>AU21*AX21</f>
        <v>210835508.67062482</v>
      </c>
      <c r="AZ21" s="623"/>
      <c r="BA21" s="624"/>
      <c r="BB21" s="628"/>
      <c r="BE21" s="473"/>
      <c r="BU21" s="976"/>
      <c r="BV21" s="976"/>
      <c r="CE21" s="913"/>
    </row>
    <row r="22" spans="1:85"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437"/>
      <c r="AS22" s="449" t="s">
        <v>738</v>
      </c>
      <c r="AT22" s="433"/>
      <c r="AU22" s="434"/>
      <c r="AV22" s="180"/>
      <c r="AX22" s="437"/>
      <c r="AY22" s="449" t="s">
        <v>738</v>
      </c>
      <c r="AZ22" s="623"/>
      <c r="BA22" s="623"/>
      <c r="BB22" s="628"/>
      <c r="BE22" s="473"/>
      <c r="BL22" s="1" t="s">
        <v>955</v>
      </c>
      <c r="BP22" s="581" t="s">
        <v>964</v>
      </c>
      <c r="BQ22" s="75"/>
      <c r="BR22" s="75"/>
      <c r="BS22" s="986"/>
      <c r="BT22" s="896"/>
      <c r="BU22" s="980"/>
      <c r="BV22" s="980"/>
      <c r="BW22" s="75"/>
      <c r="BY22" s="75"/>
      <c r="BZ22" s="76"/>
      <c r="CA22" s="75"/>
      <c r="CB22" s="76">
        <f>CB31</f>
        <v>1372242051.072</v>
      </c>
      <c r="CC22" s="75"/>
      <c r="CD22" s="910"/>
      <c r="CE22" s="304"/>
    </row>
    <row r="23" spans="1:85" ht="16.2" thickBot="1" x14ac:dyDescent="0.35">
      <c r="C23" s="141"/>
      <c r="D23" s="94">
        <f>SUM(D14:D21)</f>
        <v>1</v>
      </c>
      <c r="E23" s="371"/>
      <c r="F23" s="1093">
        <v>0.25</v>
      </c>
      <c r="G23" s="432">
        <f>E21*F23</f>
        <v>439639200.3046149</v>
      </c>
      <c r="H23" s="466">
        <v>0.92</v>
      </c>
      <c r="I23" s="432">
        <f>G23*H23</f>
        <v>404468064.28024572</v>
      </c>
      <c r="J23" s="466">
        <v>1</v>
      </c>
      <c r="K23" s="449">
        <f>I23*J23</f>
        <v>404468064.28024572</v>
      </c>
      <c r="L23" s="430">
        <f>H23</f>
        <v>0.92</v>
      </c>
      <c r="M23" s="449">
        <f>K23*L23</f>
        <v>372110619.13782609</v>
      </c>
      <c r="N23" s="430">
        <f>J23</f>
        <v>1</v>
      </c>
      <c r="O23" s="449">
        <f>M23*N23</f>
        <v>372110619.13782609</v>
      </c>
      <c r="P23" s="430">
        <f>L23</f>
        <v>0.92</v>
      </c>
      <c r="Q23" s="449">
        <f>O23*P23</f>
        <v>342341769.60680002</v>
      </c>
      <c r="R23" s="430">
        <f>N23</f>
        <v>1</v>
      </c>
      <c r="S23" s="449">
        <f>Q23*R23</f>
        <v>342341769.60680002</v>
      </c>
      <c r="T23" s="430">
        <f>P23</f>
        <v>0.92</v>
      </c>
      <c r="U23" s="449">
        <f>S23*T23</f>
        <v>314954428.03825605</v>
      </c>
      <c r="V23" s="430">
        <f>R23</f>
        <v>1</v>
      </c>
      <c r="W23" s="449">
        <f>U23*V23</f>
        <v>314954428.03825605</v>
      </c>
      <c r="X23" s="430">
        <f>T23</f>
        <v>0.92</v>
      </c>
      <c r="Y23" s="449">
        <f>W23*X23</f>
        <v>289758073.79519558</v>
      </c>
      <c r="Z23" s="430">
        <f>V23</f>
        <v>1</v>
      </c>
      <c r="AA23" s="449">
        <f>Y23*Z23</f>
        <v>289758073.79519558</v>
      </c>
      <c r="AB23" s="430">
        <f>X23</f>
        <v>0.92</v>
      </c>
      <c r="AC23" s="449">
        <f>AA23*AB23</f>
        <v>266577427.89157996</v>
      </c>
      <c r="AD23" s="430">
        <f>Z23</f>
        <v>1</v>
      </c>
      <c r="AE23" s="449">
        <f>AC23*AD23</f>
        <v>266577427.89157996</v>
      </c>
      <c r="AF23" s="430">
        <f>AB23</f>
        <v>0.92</v>
      </c>
      <c r="AG23" s="449">
        <f>AE23*AF23</f>
        <v>245251233.66025358</v>
      </c>
      <c r="AH23" s="430">
        <f>AD23</f>
        <v>1</v>
      </c>
      <c r="AI23" s="449">
        <f>AG23*AH23</f>
        <v>245251233.66025358</v>
      </c>
      <c r="AJ23" s="430">
        <f>AF23</f>
        <v>0.92</v>
      </c>
      <c r="AK23" s="449">
        <f>AI23*AJ23</f>
        <v>225631134.9674333</v>
      </c>
      <c r="AL23" s="430">
        <f>AH23</f>
        <v>1</v>
      </c>
      <c r="AM23" s="449">
        <f>AK23*AL23</f>
        <v>225631134.9674333</v>
      </c>
      <c r="AN23" s="430">
        <f>AB23</f>
        <v>0.92</v>
      </c>
      <c r="AO23" s="449">
        <f>AM23*AN23</f>
        <v>207580644.17003864</v>
      </c>
      <c r="AP23" s="430">
        <f>AD23</f>
        <v>1</v>
      </c>
      <c r="AQ23" s="449">
        <f>AO23*AP23</f>
        <v>207580644.17003864</v>
      </c>
      <c r="AR23" s="430">
        <f>AN23</f>
        <v>0.92</v>
      </c>
      <c r="AS23" s="449">
        <f>AQ23*AR23</f>
        <v>190974192.63643557</v>
      </c>
      <c r="AT23" s="430">
        <f>AP23</f>
        <v>1</v>
      </c>
      <c r="AU23" s="449">
        <f>AS23*AT23</f>
        <v>190974192.63643557</v>
      </c>
      <c r="AV23" s="719">
        <f>G23+I23+M23+Q23+U23+Y23+AC23+AG23+AK23+AO23+AS23</f>
        <v>3299286788.4886799</v>
      </c>
      <c r="AX23" s="595">
        <f>AR23</f>
        <v>0.92</v>
      </c>
      <c r="AY23" s="449">
        <f>AU23*AX23</f>
        <v>175696257.22552073</v>
      </c>
      <c r="AZ23" s="623"/>
      <c r="BA23" s="624"/>
      <c r="BB23" s="628"/>
      <c r="BE23" s="473"/>
      <c r="BJ23" s="982" t="s">
        <v>989</v>
      </c>
      <c r="BK23" s="983">
        <v>2016</v>
      </c>
      <c r="BL23" s="910">
        <v>75543543000000</v>
      </c>
      <c r="BM23" s="984">
        <v>2.5000000000000001E-2</v>
      </c>
      <c r="BN23" s="910">
        <f>BL23*BM23</f>
        <v>1888588575000</v>
      </c>
      <c r="BP23" s="75"/>
      <c r="BQ23" s="968">
        <v>2016</v>
      </c>
      <c r="BR23" s="305">
        <f>BR20</f>
        <v>10737418.24</v>
      </c>
      <c r="BS23" s="986">
        <v>64</v>
      </c>
      <c r="BT23" s="411">
        <f t="shared" ref="BT23:BT35" si="0">BS23*BR23</f>
        <v>687194767.36000001</v>
      </c>
      <c r="BU23" s="980"/>
      <c r="BV23" s="980"/>
      <c r="BW23" s="305">
        <f t="shared" ref="BW23:BW35" si="1">BT23*BU23</f>
        <v>0</v>
      </c>
      <c r="BY23" s="75"/>
      <c r="BZ23" s="76"/>
      <c r="CA23" s="75"/>
      <c r="CB23" s="953">
        <v>25000</v>
      </c>
      <c r="CC23" s="968" t="s">
        <v>1349</v>
      </c>
      <c r="CD23" s="910"/>
      <c r="CE23" s="981">
        <v>2016</v>
      </c>
    </row>
    <row r="24" spans="1:85"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122"/>
      <c r="AS24" s="448" t="s">
        <v>294</v>
      </c>
      <c r="AT24" s="122"/>
      <c r="AU24" s="8"/>
      <c r="AV24" s="126"/>
      <c r="AX24" s="122"/>
      <c r="AY24" s="448" t="s">
        <v>294</v>
      </c>
      <c r="AZ24" s="623"/>
      <c r="BA24" s="623"/>
      <c r="BB24" s="628"/>
      <c r="BE24" s="473"/>
      <c r="BJ24" s="982" t="s">
        <v>989</v>
      </c>
      <c r="BK24" s="983">
        <f>BK23+1</f>
        <v>2017</v>
      </c>
      <c r="BL24" s="910">
        <f>BL23+BN23</f>
        <v>77432131575000</v>
      </c>
      <c r="BM24" s="985">
        <f>BM23</f>
        <v>2.5000000000000001E-2</v>
      </c>
      <c r="BN24" s="910">
        <f>BL24*BM24</f>
        <v>1935803289375</v>
      </c>
      <c r="BP24" s="75"/>
      <c r="BQ24" s="968">
        <f>BQ23+1</f>
        <v>2017</v>
      </c>
      <c r="BR24" s="305">
        <f>BR20</f>
        <v>10737418.24</v>
      </c>
      <c r="BS24" s="986">
        <v>64</v>
      </c>
      <c r="BT24" s="411">
        <f t="shared" si="0"/>
        <v>687194767.36000001</v>
      </c>
      <c r="BU24" s="980"/>
      <c r="BV24" s="980"/>
      <c r="BW24" s="305">
        <f t="shared" si="1"/>
        <v>0</v>
      </c>
      <c r="BY24" s="75"/>
      <c r="BZ24" s="76"/>
      <c r="CA24" s="75"/>
      <c r="CB24" s="76">
        <f>CB22/CB23</f>
        <v>54889.682042879998</v>
      </c>
      <c r="CC24" s="75"/>
      <c r="CD24" s="910"/>
      <c r="CE24" s="981">
        <f>CE23+1</f>
        <v>2017</v>
      </c>
    </row>
    <row r="25" spans="1:85" ht="16.2" thickBot="1" x14ac:dyDescent="0.35">
      <c r="C25" s="122"/>
      <c r="D25" s="573" t="s">
        <v>1367</v>
      </c>
      <c r="E25" s="7"/>
      <c r="F25" s="1094">
        <v>0.2</v>
      </c>
      <c r="G25" s="99">
        <f>E21*F25</f>
        <v>351711360.24369192</v>
      </c>
      <c r="H25" s="467">
        <v>0.92</v>
      </c>
      <c r="I25" s="99">
        <f>G25*H25</f>
        <v>323574451.4241966</v>
      </c>
      <c r="J25" s="467">
        <v>1</v>
      </c>
      <c r="K25" s="443">
        <f>I25*J25</f>
        <v>323574451.4241966</v>
      </c>
      <c r="L25" s="153">
        <f>H25</f>
        <v>0.92</v>
      </c>
      <c r="M25" s="443">
        <f>K25*L25</f>
        <v>297688495.31026089</v>
      </c>
      <c r="N25" s="153">
        <f>J25</f>
        <v>1</v>
      </c>
      <c r="O25" s="443">
        <f>M25*N25</f>
        <v>297688495.31026089</v>
      </c>
      <c r="P25" s="153">
        <f>L25</f>
        <v>0.92</v>
      </c>
      <c r="Q25" s="443">
        <f>O25*P25</f>
        <v>273873415.68544</v>
      </c>
      <c r="R25" s="153">
        <f>N25</f>
        <v>1</v>
      </c>
      <c r="S25" s="443">
        <f>Q25*R25</f>
        <v>273873415.68544</v>
      </c>
      <c r="T25" s="153">
        <f>P25</f>
        <v>0.92</v>
      </c>
      <c r="U25" s="443">
        <f>S25*T25</f>
        <v>251963542.43060482</v>
      </c>
      <c r="V25" s="153">
        <f>R25</f>
        <v>1</v>
      </c>
      <c r="W25" s="443">
        <f>U25*V25</f>
        <v>251963542.43060482</v>
      </c>
      <c r="X25" s="153">
        <f>T25</f>
        <v>0.92</v>
      </c>
      <c r="Y25" s="443">
        <f>W25*X25</f>
        <v>231806459.03615645</v>
      </c>
      <c r="Z25" s="153">
        <f>V25</f>
        <v>1</v>
      </c>
      <c r="AA25" s="443">
        <f>Y25*Z25</f>
        <v>231806459.03615645</v>
      </c>
      <c r="AB25" s="153">
        <f>X25</f>
        <v>0.92</v>
      </c>
      <c r="AC25" s="443">
        <f>AA25*AB25</f>
        <v>213261942.31326395</v>
      </c>
      <c r="AD25" s="153">
        <f>Z25</f>
        <v>1</v>
      </c>
      <c r="AE25" s="443">
        <f>AC25*AD25</f>
        <v>213261942.31326395</v>
      </c>
      <c r="AF25" s="153">
        <f>AB25</f>
        <v>0.92</v>
      </c>
      <c r="AG25" s="443">
        <f>AE25*AF25</f>
        <v>196200986.92820284</v>
      </c>
      <c r="AH25" s="153">
        <f>AD25</f>
        <v>1</v>
      </c>
      <c r="AI25" s="443">
        <f>AG25*AH25</f>
        <v>196200986.92820284</v>
      </c>
      <c r="AJ25" s="153">
        <f>AF25</f>
        <v>0.92</v>
      </c>
      <c r="AK25" s="443">
        <f>AI25*AJ25</f>
        <v>180504907.97394663</v>
      </c>
      <c r="AL25" s="153">
        <f>AH25</f>
        <v>1</v>
      </c>
      <c r="AM25" s="443">
        <f>AK25*AL25</f>
        <v>180504907.97394663</v>
      </c>
      <c r="AN25" s="153">
        <f>AB25</f>
        <v>0.92</v>
      </c>
      <c r="AO25" s="443">
        <f>AM25*AN25</f>
        <v>166064515.3360309</v>
      </c>
      <c r="AP25" s="153">
        <f>AD25</f>
        <v>1</v>
      </c>
      <c r="AQ25" s="443">
        <f>AO25*AP25</f>
        <v>166064515.3360309</v>
      </c>
      <c r="AR25" s="153">
        <f>AN25</f>
        <v>0.92</v>
      </c>
      <c r="AS25" s="443">
        <f>AQ25*AR25</f>
        <v>152779354.10914844</v>
      </c>
      <c r="AT25" s="153">
        <f>AP25</f>
        <v>1</v>
      </c>
      <c r="AU25" s="443">
        <f>AS25*AT25</f>
        <v>152779354.10914844</v>
      </c>
      <c r="AV25" s="719">
        <f>G25+I25+M25+Q25+U25+Y25+AC25+AG25+AK25+AO25+AS25</f>
        <v>2639429430.7909436</v>
      </c>
      <c r="AX25" s="596">
        <f>AR25</f>
        <v>0.92</v>
      </c>
      <c r="AY25" s="443">
        <f>AU25*AX25</f>
        <v>140557005.78041658</v>
      </c>
      <c r="AZ25" s="623"/>
      <c r="BA25" s="624"/>
      <c r="BB25" s="628"/>
      <c r="BE25" s="473"/>
      <c r="BJ25" s="982" t="s">
        <v>989</v>
      </c>
      <c r="BK25" s="983">
        <f t="shared" ref="BK25:BK35" si="2">BK24+1</f>
        <v>2018</v>
      </c>
      <c r="BL25" s="910">
        <f t="shared" ref="BL25:BL35" si="3">BL24+BN24</f>
        <v>79367934864375</v>
      </c>
      <c r="BM25" s="985">
        <f t="shared" ref="BM25:BM35" si="4">BM24</f>
        <v>2.5000000000000001E-2</v>
      </c>
      <c r="BN25" s="910">
        <f t="shared" ref="BN25:BN35" si="5">BL25*BM25</f>
        <v>1984198371609.375</v>
      </c>
      <c r="BP25" s="75"/>
      <c r="BQ25" s="968">
        <f t="shared" ref="BQ25:BQ35" si="6">BQ24+1</f>
        <v>2018</v>
      </c>
      <c r="BR25" s="305">
        <f>BR20</f>
        <v>10737418.24</v>
      </c>
      <c r="BS25" s="986">
        <v>64</v>
      </c>
      <c r="BT25" s="411">
        <f t="shared" si="0"/>
        <v>687194767.36000001</v>
      </c>
      <c r="BU25" s="980">
        <v>2.5000000000000001E-2</v>
      </c>
      <c r="BV25" s="980"/>
      <c r="BW25" s="305">
        <f t="shared" si="1"/>
        <v>17179869.184</v>
      </c>
      <c r="BX25" s="978" t="s">
        <v>1144</v>
      </c>
      <c r="BY25" s="305">
        <f t="shared" ref="BY25:BY55" si="7">BW25</f>
        <v>17179869.184</v>
      </c>
      <c r="BZ25" s="691">
        <f t="shared" ref="BZ25:BZ35" si="8">BY25+BZ24-CD25</f>
        <v>17179869.184</v>
      </c>
      <c r="CA25" s="893">
        <v>0.125</v>
      </c>
      <c r="CB25" s="973">
        <f>BZ25*CA25</f>
        <v>2147483.648</v>
      </c>
      <c r="CC25" s="305">
        <f>AV58</f>
        <v>1326909736.8948612</v>
      </c>
      <c r="CD25" s="910">
        <f t="shared" ref="CD25:CD35" si="9">BT25*BV25</f>
        <v>0</v>
      </c>
      <c r="CE25" s="981">
        <f t="shared" ref="CE25:CE55" si="10">CE24+1</f>
        <v>2018</v>
      </c>
    </row>
    <row r="26" spans="1:85"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126"/>
      <c r="AX26" s="122"/>
      <c r="AY26" s="452" t="s">
        <v>733</v>
      </c>
      <c r="AZ26" s="623"/>
      <c r="BA26" s="623"/>
      <c r="BB26" s="628"/>
      <c r="BE26" s="473"/>
      <c r="BJ26" s="982" t="s">
        <v>989</v>
      </c>
      <c r="BK26" s="983">
        <f t="shared" si="2"/>
        <v>2019</v>
      </c>
      <c r="BL26" s="910">
        <f t="shared" si="3"/>
        <v>81352133235984.375</v>
      </c>
      <c r="BM26" s="985">
        <f t="shared" si="4"/>
        <v>2.5000000000000001E-2</v>
      </c>
      <c r="BN26" s="910">
        <f t="shared" si="5"/>
        <v>2033803330899.6094</v>
      </c>
      <c r="BP26" s="75"/>
      <c r="BQ26" s="968">
        <f t="shared" si="6"/>
        <v>2019</v>
      </c>
      <c r="BR26" s="305">
        <f>BR20</f>
        <v>10737418.24</v>
      </c>
      <c r="BS26" s="986">
        <v>64</v>
      </c>
      <c r="BT26" s="411">
        <f t="shared" si="0"/>
        <v>687194767.36000001</v>
      </c>
      <c r="BU26" s="980">
        <v>0.2</v>
      </c>
      <c r="BV26" s="980"/>
      <c r="BW26" s="305">
        <f t="shared" si="1"/>
        <v>137438953.472</v>
      </c>
      <c r="BX26" s="978" t="s">
        <v>1144</v>
      </c>
      <c r="BY26" s="305">
        <f t="shared" si="7"/>
        <v>137438953.472</v>
      </c>
      <c r="BZ26" s="691">
        <f t="shared" si="8"/>
        <v>154618822.65600002</v>
      </c>
      <c r="CA26" s="893">
        <f>CA25</f>
        <v>0.125</v>
      </c>
      <c r="CB26" s="973">
        <f t="shared" ref="CB26:CB55" si="11">BZ26*CA26</f>
        <v>19327352.832000002</v>
      </c>
      <c r="CC26" s="305">
        <f>CC25</f>
        <v>1326909736.8948612</v>
      </c>
      <c r="CD26" s="910">
        <f t="shared" si="9"/>
        <v>0</v>
      </c>
      <c r="CE26" s="981">
        <f t="shared" si="10"/>
        <v>2019</v>
      </c>
    </row>
    <row r="27" spans="1:85" ht="19.2" thickBot="1" x14ac:dyDescent="0.5">
      <c r="C27" s="122"/>
      <c r="D27" s="574" t="s">
        <v>1369</v>
      </c>
      <c r="E27" s="7"/>
      <c r="F27" s="1096">
        <v>0.25</v>
      </c>
      <c r="G27" s="446">
        <f>E21*F27</f>
        <v>439639200.3046149</v>
      </c>
      <c r="H27" s="447">
        <v>0.25</v>
      </c>
      <c r="I27" s="446">
        <f>G27*H27</f>
        <v>109909800.07615373</v>
      </c>
      <c r="J27" s="447">
        <v>1</v>
      </c>
      <c r="K27" s="439">
        <f>I27*J27</f>
        <v>109909800.07615373</v>
      </c>
      <c r="L27" s="438">
        <f>H27</f>
        <v>0.25</v>
      </c>
      <c r="M27" s="439">
        <f>K27*L27</f>
        <v>27477450.019038431</v>
      </c>
      <c r="N27" s="438">
        <f>J27</f>
        <v>1</v>
      </c>
      <c r="O27" s="439">
        <f>M27*N27</f>
        <v>27477450.019038431</v>
      </c>
      <c r="P27" s="438">
        <f>L27</f>
        <v>0.25</v>
      </c>
      <c r="Q27" s="439">
        <f>O27*P27</f>
        <v>6869362.5047596078</v>
      </c>
      <c r="R27" s="438">
        <f>N27</f>
        <v>1</v>
      </c>
      <c r="S27" s="439">
        <f>Q27*R27</f>
        <v>6869362.5047596078</v>
      </c>
      <c r="T27" s="438">
        <f>P27</f>
        <v>0.25</v>
      </c>
      <c r="U27" s="439">
        <f>S27*T27</f>
        <v>1717340.626189902</v>
      </c>
      <c r="V27" s="438">
        <f>R27</f>
        <v>1</v>
      </c>
      <c r="W27" s="439">
        <f>U27*V27</f>
        <v>1717340.626189902</v>
      </c>
      <c r="X27" s="438">
        <f>T27</f>
        <v>0.25</v>
      </c>
      <c r="Y27" s="439">
        <f>W27*X27</f>
        <v>429335.15654747549</v>
      </c>
      <c r="Z27" s="438">
        <f>V27</f>
        <v>1</v>
      </c>
      <c r="AA27" s="439">
        <f>Y27*Z27</f>
        <v>429335.15654747549</v>
      </c>
      <c r="AB27" s="438">
        <f>X27</f>
        <v>0.25</v>
      </c>
      <c r="AC27" s="439">
        <f>AA27*AB27</f>
        <v>107333.78913686887</v>
      </c>
      <c r="AD27" s="438">
        <f>Z27</f>
        <v>1</v>
      </c>
      <c r="AE27" s="439">
        <f>AC27*AD27</f>
        <v>107333.78913686887</v>
      </c>
      <c r="AF27" s="438">
        <f>AB27</f>
        <v>0.25</v>
      </c>
      <c r="AG27" s="439">
        <f>AE27*AF27</f>
        <v>26833.447284217218</v>
      </c>
      <c r="AH27" s="438">
        <f>AD27</f>
        <v>1</v>
      </c>
      <c r="AI27" s="439">
        <f>AG27*AH27</f>
        <v>26833.447284217218</v>
      </c>
      <c r="AJ27" s="438">
        <f>AF27</f>
        <v>0.25</v>
      </c>
      <c r="AK27" s="439">
        <f>AI27*AJ27</f>
        <v>6708.3618210543045</v>
      </c>
      <c r="AL27" s="438">
        <f>AH27</f>
        <v>1</v>
      </c>
      <c r="AM27" s="439">
        <f>AK27*AL27</f>
        <v>6708.3618210543045</v>
      </c>
      <c r="AN27" s="438">
        <f>AB27</f>
        <v>0.25</v>
      </c>
      <c r="AO27" s="439">
        <f>AM27*AN27</f>
        <v>1677.0904552635761</v>
      </c>
      <c r="AP27" s="438">
        <f>AD27</f>
        <v>1</v>
      </c>
      <c r="AQ27" s="439">
        <f>AO27*AP27</f>
        <v>1677.0904552635761</v>
      </c>
      <c r="AR27" s="438">
        <f>AN27</f>
        <v>0.25</v>
      </c>
      <c r="AS27" s="439">
        <f>AQ27*AR27</f>
        <v>419.27261381589403</v>
      </c>
      <c r="AT27" s="438">
        <f>AP27</f>
        <v>1</v>
      </c>
      <c r="AU27" s="439">
        <f>AS27*AT27</f>
        <v>419.27261381589403</v>
      </c>
      <c r="AV27" s="719">
        <f>G27+I27+M27+Q27+U27+Y27+AC27+AG27+AK27+AO27+AS27</f>
        <v>586185460.64861524</v>
      </c>
      <c r="AX27" s="597">
        <f>AR27</f>
        <v>0.25</v>
      </c>
      <c r="AY27" s="439">
        <f>AU27*AX27</f>
        <v>104.81815345397351</v>
      </c>
      <c r="AZ27" s="623"/>
      <c r="BA27" s="624"/>
      <c r="BB27" s="628"/>
      <c r="BE27" s="473"/>
      <c r="BJ27" s="982" t="s">
        <v>989</v>
      </c>
      <c r="BK27" s="983">
        <f t="shared" si="2"/>
        <v>2020</v>
      </c>
      <c r="BL27" s="910">
        <f t="shared" si="3"/>
        <v>83385936566883.984</v>
      </c>
      <c r="BM27" s="985">
        <f t="shared" si="4"/>
        <v>2.5000000000000001E-2</v>
      </c>
      <c r="BN27" s="910">
        <f t="shared" si="5"/>
        <v>2084648414172.0996</v>
      </c>
      <c r="BO27" s="895" t="s">
        <v>1283</v>
      </c>
      <c r="BP27" s="75"/>
      <c r="BQ27" s="968">
        <f t="shared" si="6"/>
        <v>2020</v>
      </c>
      <c r="BR27" s="305">
        <f>BR20</f>
        <v>10737418.24</v>
      </c>
      <c r="BS27" s="986">
        <v>64</v>
      </c>
      <c r="BT27" s="411">
        <f t="shared" si="0"/>
        <v>687194767.36000001</v>
      </c>
      <c r="BU27" s="980">
        <v>1.5</v>
      </c>
      <c r="BV27" s="980"/>
      <c r="BW27" s="305">
        <f t="shared" si="1"/>
        <v>1030792151.04</v>
      </c>
      <c r="BX27" s="978" t="s">
        <v>1144</v>
      </c>
      <c r="BY27" s="305">
        <f t="shared" si="7"/>
        <v>1030792151.04</v>
      </c>
      <c r="BZ27" s="691">
        <f t="shared" si="8"/>
        <v>1185410973.6960001</v>
      </c>
      <c r="CA27" s="893">
        <f t="shared" ref="CA27:CA31" si="12">CA26</f>
        <v>0.125</v>
      </c>
      <c r="CB27" s="973">
        <f t="shared" si="11"/>
        <v>148176371.71200001</v>
      </c>
      <c r="CC27" s="305">
        <f t="shared" ref="CC27:CC55" si="13">CC26</f>
        <v>1326909736.8948612</v>
      </c>
      <c r="CD27" s="910">
        <f t="shared" si="9"/>
        <v>0</v>
      </c>
      <c r="CE27" s="981">
        <f t="shared" si="10"/>
        <v>2020</v>
      </c>
    </row>
    <row r="28" spans="1:85"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437"/>
      <c r="AS28" s="434"/>
      <c r="AT28" s="142"/>
      <c r="AU28" s="434"/>
      <c r="AV28" s="180"/>
      <c r="AX28" s="122"/>
      <c r="AY28" s="8"/>
      <c r="AZ28" s="623"/>
      <c r="BA28" s="624"/>
      <c r="BB28" s="629">
        <f>AY5</f>
        <v>2153492711.2570086</v>
      </c>
      <c r="BE28" s="473"/>
      <c r="BJ28" s="982" t="s">
        <v>989</v>
      </c>
      <c r="BK28" s="983">
        <f t="shared" si="2"/>
        <v>2021</v>
      </c>
      <c r="BL28" s="910">
        <f t="shared" si="3"/>
        <v>85470584981056.078</v>
      </c>
      <c r="BM28" s="985">
        <f t="shared" si="4"/>
        <v>2.5000000000000001E-2</v>
      </c>
      <c r="BN28" s="910">
        <f t="shared" si="5"/>
        <v>2136764624526.4021</v>
      </c>
      <c r="BP28" s="75"/>
      <c r="BQ28" s="968">
        <f t="shared" si="6"/>
        <v>2021</v>
      </c>
      <c r="BR28" s="305">
        <f>BR20</f>
        <v>10737418.24</v>
      </c>
      <c r="BS28" s="986">
        <v>64</v>
      </c>
      <c r="BT28" s="411">
        <f t="shared" si="0"/>
        <v>687194767.36000001</v>
      </c>
      <c r="BU28" s="980">
        <v>1.25</v>
      </c>
      <c r="BV28" s="980"/>
      <c r="BW28" s="305">
        <f t="shared" si="1"/>
        <v>858993459.20000005</v>
      </c>
      <c r="BX28" s="978" t="s">
        <v>1144</v>
      </c>
      <c r="BY28" s="305">
        <f t="shared" si="7"/>
        <v>858993459.20000005</v>
      </c>
      <c r="BZ28" s="691">
        <f t="shared" si="8"/>
        <v>2044404432.8960001</v>
      </c>
      <c r="CA28" s="893">
        <f t="shared" si="12"/>
        <v>0.125</v>
      </c>
      <c r="CB28" s="973">
        <f t="shared" si="11"/>
        <v>255550554.11200002</v>
      </c>
      <c r="CC28" s="305">
        <f t="shared" si="13"/>
        <v>1326909736.8948612</v>
      </c>
      <c r="CD28" s="910">
        <f t="shared" si="9"/>
        <v>0</v>
      </c>
      <c r="CE28" s="981">
        <f t="shared" si="10"/>
        <v>2021</v>
      </c>
    </row>
    <row r="29" spans="1:85"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122"/>
      <c r="AS29" s="8"/>
      <c r="AT29" s="122"/>
      <c r="AU29" s="8"/>
      <c r="AV29" s="180">
        <f>SUM(AV10:AV27)</f>
        <v>36901551297.756058</v>
      </c>
      <c r="AX29" s="179"/>
      <c r="AY29" s="161">
        <f>SUM(AY10:AY28)</f>
        <v>1918027666.3910236</v>
      </c>
      <c r="AZ29" s="691">
        <v>1</v>
      </c>
      <c r="BA29" s="183">
        <f>AY29*AZ29</f>
        <v>1918027666.3910236</v>
      </c>
      <c r="BB29" s="645">
        <f>BA29+BB28</f>
        <v>4071520377.6480322</v>
      </c>
      <c r="BC29" s="253" t="s">
        <v>1383</v>
      </c>
      <c r="BE29" s="473"/>
      <c r="BJ29" s="982" t="s">
        <v>989</v>
      </c>
      <c r="BK29" s="983">
        <f>BK28+1</f>
        <v>2022</v>
      </c>
      <c r="BL29" s="910">
        <f>BL28+BN28</f>
        <v>87607349605582.484</v>
      </c>
      <c r="BM29" s="985">
        <f>BM28</f>
        <v>2.5000000000000001E-2</v>
      </c>
      <c r="BN29" s="910">
        <f t="shared" si="5"/>
        <v>2190183740139.5623</v>
      </c>
      <c r="BP29" s="75"/>
      <c r="BQ29" s="968">
        <f>BQ28+1</f>
        <v>2022</v>
      </c>
      <c r="BR29" s="305">
        <f>BR20</f>
        <v>10737418.24</v>
      </c>
      <c r="BS29" s="986">
        <v>64</v>
      </c>
      <c r="BT29" s="411">
        <f t="shared" si="0"/>
        <v>687194767.36000001</v>
      </c>
      <c r="BU29" s="980">
        <v>2</v>
      </c>
      <c r="BV29" s="980"/>
      <c r="BW29" s="305">
        <f t="shared" si="1"/>
        <v>1374389534.72</v>
      </c>
      <c r="BX29" s="978" t="s">
        <v>1144</v>
      </c>
      <c r="BY29" s="305">
        <f t="shared" si="7"/>
        <v>1374389534.72</v>
      </c>
      <c r="BZ29" s="691">
        <f t="shared" si="8"/>
        <v>3418793967.6160002</v>
      </c>
      <c r="CA29" s="893">
        <f t="shared" si="12"/>
        <v>0.125</v>
      </c>
      <c r="CB29" s="973">
        <f t="shared" si="11"/>
        <v>427349245.95200002</v>
      </c>
      <c r="CC29" s="305">
        <f t="shared" si="13"/>
        <v>1326909736.8948612</v>
      </c>
      <c r="CD29" s="910">
        <f t="shared" si="9"/>
        <v>0</v>
      </c>
      <c r="CE29" s="981">
        <f>CE28+1</f>
        <v>2022</v>
      </c>
    </row>
    <row r="30" spans="1:85" x14ac:dyDescent="0.3">
      <c r="C30" s="158"/>
      <c r="D30" s="10"/>
      <c r="E30" s="10"/>
      <c r="F30" s="10"/>
      <c r="G30" s="159">
        <f>SUM(G10:G29)</f>
        <v>5388616857.2367687</v>
      </c>
      <c r="H30" s="599"/>
      <c r="I30" s="172">
        <f>SUM(I10:I29)</f>
        <v>4600078121.7023602</v>
      </c>
      <c r="J30" s="158"/>
      <c r="K30" s="11"/>
      <c r="L30" s="160"/>
      <c r="M30" s="161">
        <f>SUM(M10:M29)</f>
        <v>4126986744.5394597</v>
      </c>
      <c r="N30" s="158"/>
      <c r="O30" s="11"/>
      <c r="P30" s="598"/>
      <c r="Q30" s="172">
        <f>SUM(Q10:Q29)</f>
        <v>3762695132.7757039</v>
      </c>
      <c r="R30" s="158"/>
      <c r="S30" s="11"/>
      <c r="T30" s="160"/>
      <c r="U30" s="161">
        <f>SUM(U10:U29)</f>
        <v>3449215658.9315367</v>
      </c>
      <c r="V30" s="158"/>
      <c r="W30" s="11"/>
      <c r="X30" s="598"/>
      <c r="Y30" s="172">
        <f>SUM(Y10:Y29)</f>
        <v>3168197092.8255057</v>
      </c>
      <c r="Z30" s="158"/>
      <c r="AA30" s="11"/>
      <c r="AB30" s="160"/>
      <c r="AC30" s="161">
        <f>SUM(AC10:AC29)</f>
        <v>2912488323.2585979</v>
      </c>
      <c r="AD30" s="158"/>
      <c r="AE30" s="11"/>
      <c r="AF30" s="598"/>
      <c r="AG30" s="172">
        <f>SUM(AG10:AG29)</f>
        <v>2678434669.966198</v>
      </c>
      <c r="AH30" s="158"/>
      <c r="AI30" s="11"/>
      <c r="AJ30" s="598"/>
      <c r="AK30" s="172">
        <f>SUM(AK10:AK29)</f>
        <v>2463650581.062727</v>
      </c>
      <c r="AL30" s="158"/>
      <c r="AM30" s="11"/>
      <c r="AN30" s="598"/>
      <c r="AO30" s="172">
        <f>SUM(AO10:AO29)</f>
        <v>2266308371.527041</v>
      </c>
      <c r="AP30" s="158"/>
      <c r="AQ30" s="11"/>
      <c r="AR30" s="179"/>
      <c r="AS30" s="161">
        <f>SUM(AS10:AS29)</f>
        <v>2084879743.9301488</v>
      </c>
      <c r="AT30" s="158"/>
      <c r="AU30" s="11"/>
      <c r="AV30" s="719">
        <f>G30+I30+M30+Q30+U30+Y30+AC30+AG30+AK30+AO30+AS30</f>
        <v>36901551297.756042</v>
      </c>
      <c r="BB30" s="253" t="s">
        <v>1383</v>
      </c>
      <c r="BE30" s="473"/>
      <c r="BJ30" s="982" t="s">
        <v>989</v>
      </c>
      <c r="BK30" s="983">
        <f>BK29+1</f>
        <v>2023</v>
      </c>
      <c r="BL30" s="910">
        <f>BL29+BN29</f>
        <v>89797533345722.047</v>
      </c>
      <c r="BM30" s="985">
        <f>BM29</f>
        <v>2.5000000000000001E-2</v>
      </c>
      <c r="BN30" s="910">
        <f t="shared" si="5"/>
        <v>2244938333643.0513</v>
      </c>
      <c r="BP30" s="75"/>
      <c r="BQ30" s="968">
        <f>BQ29+1</f>
        <v>2023</v>
      </c>
      <c r="BR30" s="305">
        <f>BR20</f>
        <v>10737418.24</v>
      </c>
      <c r="BS30" s="986">
        <v>64</v>
      </c>
      <c r="BT30" s="411">
        <f t="shared" si="0"/>
        <v>687194767.36000001</v>
      </c>
      <c r="BU30" s="980">
        <v>3</v>
      </c>
      <c r="BV30" s="980"/>
      <c r="BW30" s="305">
        <f t="shared" si="1"/>
        <v>2061584302.0799999</v>
      </c>
      <c r="BX30" s="978" t="s">
        <v>1144</v>
      </c>
      <c r="BY30" s="305">
        <f t="shared" si="7"/>
        <v>2061584302.0799999</v>
      </c>
      <c r="BZ30" s="691">
        <f t="shared" si="8"/>
        <v>5480378269.6960001</v>
      </c>
      <c r="CA30" s="893">
        <f t="shared" si="12"/>
        <v>0.125</v>
      </c>
      <c r="CB30" s="973">
        <f t="shared" si="11"/>
        <v>685047283.71200001</v>
      </c>
      <c r="CC30" s="305">
        <f t="shared" si="13"/>
        <v>1326909736.8948612</v>
      </c>
      <c r="CD30" s="910">
        <f t="shared" si="9"/>
        <v>0</v>
      </c>
      <c r="CE30" s="981">
        <f>CE29+1</f>
        <v>2023</v>
      </c>
    </row>
    <row r="31" spans="1:85" x14ac:dyDescent="0.3">
      <c r="I31" s="30"/>
      <c r="Q31" s="30"/>
      <c r="Y31" s="30"/>
      <c r="AV31" s="999" t="s">
        <v>1355</v>
      </c>
      <c r="AX31" s="77" t="s">
        <v>1382</v>
      </c>
      <c r="AY31" s="567">
        <f>AV34</f>
        <v>7.1762945085469099</v>
      </c>
      <c r="AZ31" s="76"/>
      <c r="BA31" s="76" t="s">
        <v>957</v>
      </c>
      <c r="BE31" s="473"/>
      <c r="BJ31" s="982" t="s">
        <v>989</v>
      </c>
      <c r="BK31" s="983">
        <f t="shared" si="2"/>
        <v>2024</v>
      </c>
      <c r="BL31" s="910">
        <f t="shared" si="3"/>
        <v>92042471679365.094</v>
      </c>
      <c r="BM31" s="985">
        <f t="shared" si="4"/>
        <v>2.5000000000000001E-2</v>
      </c>
      <c r="BN31" s="910">
        <f t="shared" si="5"/>
        <v>2301061791984.1274</v>
      </c>
      <c r="BO31" s="895" t="s">
        <v>1282</v>
      </c>
      <c r="BP31" s="75"/>
      <c r="BQ31" s="968">
        <f t="shared" si="6"/>
        <v>2024</v>
      </c>
      <c r="BR31" s="305">
        <f>BR20</f>
        <v>10737418.24</v>
      </c>
      <c r="BS31" s="986">
        <v>64</v>
      </c>
      <c r="BT31" s="411">
        <f t="shared" si="0"/>
        <v>687194767.36000001</v>
      </c>
      <c r="BU31" s="980">
        <v>8</v>
      </c>
      <c r="BV31" s="980"/>
      <c r="BW31" s="305">
        <f t="shared" si="1"/>
        <v>5497558138.8800001</v>
      </c>
      <c r="BX31" s="978" t="s">
        <v>1144</v>
      </c>
      <c r="BY31" s="305">
        <f t="shared" si="7"/>
        <v>5497558138.8800001</v>
      </c>
      <c r="BZ31" s="691">
        <f t="shared" si="8"/>
        <v>10977936408.576</v>
      </c>
      <c r="CA31" s="893">
        <f t="shared" si="12"/>
        <v>0.125</v>
      </c>
      <c r="CB31" s="995">
        <f t="shared" si="11"/>
        <v>1372242051.072</v>
      </c>
      <c r="CC31" s="305">
        <f t="shared" si="13"/>
        <v>1326909736.8948612</v>
      </c>
      <c r="CD31" s="910">
        <f t="shared" si="9"/>
        <v>0</v>
      </c>
      <c r="CE31" s="981">
        <f t="shared" si="10"/>
        <v>2024</v>
      </c>
      <c r="CF31" s="1000">
        <v>0.125</v>
      </c>
      <c r="CG31" s="1001">
        <f>CB31*CA31</f>
        <v>171530256.384</v>
      </c>
    </row>
    <row r="32" spans="1:85" x14ac:dyDescent="0.3">
      <c r="A32" s="690"/>
      <c r="B32" s="690"/>
      <c r="I32" s="690"/>
      <c r="AU32" s="1150" t="s">
        <v>306</v>
      </c>
      <c r="AV32" s="182">
        <f>E8</f>
        <v>10777233714.473537</v>
      </c>
      <c r="AX32" s="736">
        <f>AV47</f>
        <v>10777233714.473537</v>
      </c>
      <c r="AY32" s="568">
        <f>AX32*AV34</f>
        <v>77340603122.503067</v>
      </c>
      <c r="AZ32" s="208">
        <f>AW49</f>
        <v>0.66163000000000005</v>
      </c>
      <c r="BA32" s="691">
        <f>AY32*AZ32</f>
        <v>51170863243.941711</v>
      </c>
      <c r="BE32" s="473"/>
      <c r="BJ32" s="332" t="s">
        <v>989</v>
      </c>
      <c r="BK32" s="953">
        <f>BK31+1</f>
        <v>2025</v>
      </c>
      <c r="BL32" s="691">
        <f>BL31+BN31</f>
        <v>94343533471349.219</v>
      </c>
      <c r="BM32" s="894">
        <f>BM31</f>
        <v>2.5000000000000001E-2</v>
      </c>
      <c r="BN32" s="691">
        <f t="shared" si="5"/>
        <v>2358588336783.7305</v>
      </c>
      <c r="BP32" s="332" t="s">
        <v>963</v>
      </c>
      <c r="BQ32" s="953">
        <f>BQ31+1</f>
        <v>2025</v>
      </c>
      <c r="BR32" s="691">
        <f>BR20</f>
        <v>10737418.24</v>
      </c>
      <c r="BS32" s="987">
        <v>64</v>
      </c>
      <c r="BT32" s="875">
        <f t="shared" si="0"/>
        <v>687194767.36000001</v>
      </c>
      <c r="BU32" s="977"/>
      <c r="BV32" s="977"/>
      <c r="BW32" s="691">
        <f t="shared" si="1"/>
        <v>0</v>
      </c>
      <c r="BY32" s="691">
        <f t="shared" si="7"/>
        <v>0</v>
      </c>
      <c r="BZ32" s="691">
        <f t="shared" si="8"/>
        <v>10977936408.576</v>
      </c>
      <c r="CA32" s="894">
        <f>CA31</f>
        <v>0.125</v>
      </c>
      <c r="CB32" s="975">
        <f t="shared" si="11"/>
        <v>1372242051.072</v>
      </c>
      <c r="CC32" s="691">
        <f t="shared" si="13"/>
        <v>1326909736.8948612</v>
      </c>
      <c r="CD32" s="183">
        <f t="shared" si="9"/>
        <v>0</v>
      </c>
      <c r="CE32" s="949">
        <f>CE31+1</f>
        <v>2025</v>
      </c>
    </row>
    <row r="33" spans="1:83" x14ac:dyDescent="0.3">
      <c r="I33" s="690"/>
      <c r="J33" s="18"/>
      <c r="K33" s="690"/>
      <c r="AU33" s="122" t="s">
        <v>1492</v>
      </c>
      <c r="AV33" s="183">
        <f>AV29+AV5</f>
        <v>77340603122.503067</v>
      </c>
      <c r="AY33" s="248"/>
      <c r="BA33" s="181"/>
      <c r="BE33" s="473"/>
      <c r="BJ33" s="332" t="s">
        <v>989</v>
      </c>
      <c r="BK33" s="953">
        <f t="shared" si="2"/>
        <v>2026</v>
      </c>
      <c r="BL33" s="691">
        <f t="shared" si="3"/>
        <v>96702121808132.953</v>
      </c>
      <c r="BM33" s="894">
        <f t="shared" si="4"/>
        <v>2.5000000000000001E-2</v>
      </c>
      <c r="BN33" s="691">
        <f t="shared" si="5"/>
        <v>2417553045203.3237</v>
      </c>
      <c r="BP33" s="332"/>
      <c r="BQ33" s="953">
        <f t="shared" si="6"/>
        <v>2026</v>
      </c>
      <c r="BR33" s="691">
        <f>BR20</f>
        <v>10737418.24</v>
      </c>
      <c r="BS33" s="987">
        <v>64</v>
      </c>
      <c r="BT33" s="875">
        <f t="shared" si="0"/>
        <v>687194767.36000001</v>
      </c>
      <c r="BU33" s="977"/>
      <c r="BV33" s="977"/>
      <c r="BW33" s="691">
        <f t="shared" si="1"/>
        <v>0</v>
      </c>
      <c r="BY33" s="691">
        <f t="shared" si="7"/>
        <v>0</v>
      </c>
      <c r="BZ33" s="691">
        <f t="shared" si="8"/>
        <v>10977936408.576</v>
      </c>
      <c r="CA33" s="894">
        <f>CA32</f>
        <v>0.125</v>
      </c>
      <c r="CB33" s="975">
        <f t="shared" si="11"/>
        <v>1372242051.072</v>
      </c>
      <c r="CC33" s="691">
        <f t="shared" si="13"/>
        <v>1326909736.8948612</v>
      </c>
      <c r="CD33" s="183">
        <f t="shared" si="9"/>
        <v>0</v>
      </c>
      <c r="CE33" s="949">
        <f t="shared" si="10"/>
        <v>2026</v>
      </c>
    </row>
    <row r="34" spans="1:83" x14ac:dyDescent="0.3">
      <c r="A34" s="690"/>
      <c r="B34" s="690"/>
      <c r="C34" s="900" t="s">
        <v>1036</v>
      </c>
      <c r="D34" s="901" t="s">
        <v>1287</v>
      </c>
      <c r="E34" s="4"/>
      <c r="F34" s="4"/>
      <c r="G34" s="5"/>
      <c r="AU34" s="1150" t="s">
        <v>310</v>
      </c>
      <c r="AV34" s="184">
        <f>AV33/AV32</f>
        <v>7.1762945085469099</v>
      </c>
      <c r="AW34" s="239"/>
      <c r="AX34" s="239" t="s">
        <v>974</v>
      </c>
      <c r="AY34" s="248" t="s">
        <v>1384</v>
      </c>
      <c r="AZ34" s="239"/>
      <c r="BA34" s="181"/>
      <c r="BE34" s="473"/>
      <c r="BJ34" s="332" t="s">
        <v>989</v>
      </c>
      <c r="BK34" s="953">
        <f t="shared" si="2"/>
        <v>2027</v>
      </c>
      <c r="BL34" s="691">
        <f t="shared" si="3"/>
        <v>99119674853336.281</v>
      </c>
      <c r="BM34" s="894">
        <f t="shared" si="4"/>
        <v>2.5000000000000001E-2</v>
      </c>
      <c r="BN34" s="691">
        <f t="shared" si="5"/>
        <v>2477991871333.4072</v>
      </c>
      <c r="BP34" s="76"/>
      <c r="BQ34" s="953">
        <f t="shared" si="6"/>
        <v>2027</v>
      </c>
      <c r="BR34" s="691">
        <f>BR20</f>
        <v>10737418.24</v>
      </c>
      <c r="BS34" s="987">
        <v>64</v>
      </c>
      <c r="BT34" s="875">
        <f t="shared" si="0"/>
        <v>687194767.36000001</v>
      </c>
      <c r="BU34" s="977"/>
      <c r="BV34" s="977"/>
      <c r="BW34" s="691">
        <f t="shared" si="1"/>
        <v>0</v>
      </c>
      <c r="BY34" s="691">
        <f t="shared" si="7"/>
        <v>0</v>
      </c>
      <c r="BZ34" s="691">
        <f t="shared" si="8"/>
        <v>10977936408.576</v>
      </c>
      <c r="CA34" s="894">
        <f t="shared" ref="CA34:CA55" si="14">CA33</f>
        <v>0.125</v>
      </c>
      <c r="CB34" s="975">
        <f t="shared" si="11"/>
        <v>1372242051.072</v>
      </c>
      <c r="CC34" s="691">
        <f t="shared" si="13"/>
        <v>1326909736.8948612</v>
      </c>
      <c r="CD34" s="183">
        <f t="shared" si="9"/>
        <v>0</v>
      </c>
      <c r="CE34" s="949">
        <f t="shared" si="10"/>
        <v>2027</v>
      </c>
    </row>
    <row r="35" spans="1:83" x14ac:dyDescent="0.3">
      <c r="A35" s="690"/>
      <c r="B35" s="690"/>
      <c r="C35" s="122" t="s">
        <v>732</v>
      </c>
      <c r="D35" s="287" t="s">
        <v>1288</v>
      </c>
      <c r="E35" s="7" t="s">
        <v>1289</v>
      </c>
      <c r="F35" s="7"/>
      <c r="G35" s="8"/>
      <c r="AT35" s="38"/>
      <c r="AU35" s="1150" t="s">
        <v>785</v>
      </c>
      <c r="AV35" s="472"/>
      <c r="AW35" s="473"/>
      <c r="AX35" s="472"/>
      <c r="AY35" s="472">
        <f>AX35-AV35</f>
        <v>0</v>
      </c>
      <c r="AZ35" s="473"/>
      <c r="BA35" s="563"/>
      <c r="BB35" s="473"/>
      <c r="BC35" s="473"/>
      <c r="BD35" s="473"/>
      <c r="BE35" s="473"/>
      <c r="BF35" s="88"/>
      <c r="BG35" s="88"/>
      <c r="BH35" s="88"/>
      <c r="BI35" s="88"/>
      <c r="BJ35" s="332" t="s">
        <v>989</v>
      </c>
      <c r="BK35" s="953">
        <f t="shared" si="2"/>
        <v>2028</v>
      </c>
      <c r="BL35" s="691">
        <f t="shared" si="3"/>
        <v>101597666724669.69</v>
      </c>
      <c r="BM35" s="894">
        <f t="shared" si="4"/>
        <v>2.5000000000000001E-2</v>
      </c>
      <c r="BN35" s="691">
        <f t="shared" si="5"/>
        <v>2539941668116.7422</v>
      </c>
      <c r="BP35" s="76"/>
      <c r="BQ35" s="953">
        <f t="shared" si="6"/>
        <v>2028</v>
      </c>
      <c r="BR35" s="691">
        <f>BR20</f>
        <v>10737418.24</v>
      </c>
      <c r="BS35" s="987">
        <v>64</v>
      </c>
      <c r="BT35" s="875">
        <f t="shared" si="0"/>
        <v>687194767.36000001</v>
      </c>
      <c r="BU35" s="977"/>
      <c r="BV35" s="977"/>
      <c r="BW35" s="691">
        <f t="shared" si="1"/>
        <v>0</v>
      </c>
      <c r="BY35" s="691">
        <f t="shared" si="7"/>
        <v>0</v>
      </c>
      <c r="BZ35" s="691">
        <f t="shared" si="8"/>
        <v>10977936408.576</v>
      </c>
      <c r="CA35" s="894">
        <f t="shared" si="14"/>
        <v>0.125</v>
      </c>
      <c r="CB35" s="975">
        <f t="shared" si="11"/>
        <v>1372242051.072</v>
      </c>
      <c r="CC35" s="691">
        <f t="shared" si="13"/>
        <v>1326909736.8948612</v>
      </c>
      <c r="CD35" s="183">
        <f t="shared" si="9"/>
        <v>0</v>
      </c>
      <c r="CE35" s="949">
        <f t="shared" si="10"/>
        <v>2028</v>
      </c>
    </row>
    <row r="36" spans="1:83" x14ac:dyDescent="0.3">
      <c r="A36" s="690"/>
      <c r="B36" s="690"/>
      <c r="C36" s="1151">
        <v>32</v>
      </c>
      <c r="D36" s="411">
        <f>'POP Dimensions'!J15</f>
        <v>21474836.48</v>
      </c>
      <c r="E36" s="411">
        <f>C36*D36</f>
        <v>687194767.36000001</v>
      </c>
      <c r="F36" s="896"/>
      <c r="G36" s="902" t="s">
        <v>732</v>
      </c>
      <c r="AT36" s="38"/>
      <c r="AU36" s="1206" t="s">
        <v>1445</v>
      </c>
      <c r="AV36" s="1207">
        <f>'POP Dimensions'!L16</f>
        <v>343597383.68000001</v>
      </c>
      <c r="AW36" s="88"/>
      <c r="AX36" s="511"/>
      <c r="AY36" s="511"/>
      <c r="AZ36" s="88"/>
      <c r="BA36" s="181"/>
      <c r="BB36" s="88"/>
      <c r="BC36" s="88"/>
      <c r="BD36" s="616">
        <f>BA47*BF47</f>
        <v>105584285863.9305</v>
      </c>
      <c r="BE36" s="617" t="s">
        <v>778</v>
      </c>
      <c r="BF36" s="88"/>
      <c r="BG36" s="88"/>
      <c r="BH36" s="88"/>
      <c r="BI36" s="88"/>
      <c r="BJ36" s="332" t="s">
        <v>989</v>
      </c>
      <c r="BK36" s="953">
        <f>BK35+1</f>
        <v>2029</v>
      </c>
      <c r="BL36" s="691">
        <f>BL35+BN35</f>
        <v>104137608392786.44</v>
      </c>
      <c r="BM36" s="894">
        <f>BM35</f>
        <v>2.5000000000000001E-2</v>
      </c>
      <c r="BN36" s="691">
        <f>BL36*BM36</f>
        <v>2603440209819.6611</v>
      </c>
      <c r="BP36" s="76"/>
      <c r="BQ36" s="953">
        <f>BQ35+1</f>
        <v>2029</v>
      </c>
      <c r="BR36" s="691">
        <f>BR20</f>
        <v>10737418.24</v>
      </c>
      <c r="BS36" s="987">
        <v>64</v>
      </c>
      <c r="BT36" s="875">
        <f>BS36*BR36</f>
        <v>687194767.36000001</v>
      </c>
      <c r="BU36" s="977"/>
      <c r="BV36" s="977"/>
      <c r="BW36" s="691">
        <f>BT36*BU36</f>
        <v>0</v>
      </c>
      <c r="BY36" s="691">
        <f t="shared" si="7"/>
        <v>0</v>
      </c>
      <c r="BZ36" s="691">
        <f>BY36+BZ35-CD36</f>
        <v>10977936408.576</v>
      </c>
      <c r="CA36" s="894">
        <f t="shared" si="14"/>
        <v>0.125</v>
      </c>
      <c r="CB36" s="975">
        <f t="shared" si="11"/>
        <v>1372242051.072</v>
      </c>
      <c r="CC36" s="691">
        <f t="shared" si="13"/>
        <v>1326909736.8948612</v>
      </c>
      <c r="CD36" s="183">
        <f>BT36*BV36</f>
        <v>0</v>
      </c>
      <c r="CE36" s="949">
        <f t="shared" si="10"/>
        <v>2029</v>
      </c>
    </row>
    <row r="37" spans="1:83" x14ac:dyDescent="0.3">
      <c r="A37" s="690"/>
      <c r="B37" s="690"/>
      <c r="C37" s="1152">
        <f>C36*2</f>
        <v>64</v>
      </c>
      <c r="D37" s="897">
        <f>D36</f>
        <v>21474836.48</v>
      </c>
      <c r="E37" s="897">
        <f t="shared" ref="E37:E43" si="15">C37*D37</f>
        <v>1374389534.72</v>
      </c>
      <c r="F37" s="874"/>
      <c r="G37" s="903" t="s">
        <v>732</v>
      </c>
      <c r="AT37" s="38"/>
      <c r="AU37" s="1206" t="s">
        <v>1444</v>
      </c>
      <c r="AV37" s="1207">
        <f>'POP Dimensions'!H17</f>
        <v>687194767.36000001</v>
      </c>
      <c r="AW37" s="88"/>
      <c r="AX37" s="511"/>
      <c r="AY37" s="511"/>
      <c r="AZ37" s="88"/>
      <c r="BA37" s="181"/>
      <c r="BB37" s="88"/>
      <c r="BC37" s="88"/>
      <c r="BD37" s="616"/>
      <c r="BE37" s="617"/>
      <c r="BF37" s="88"/>
      <c r="BG37" s="88"/>
      <c r="BH37" s="88"/>
      <c r="BI37" s="88"/>
      <c r="BJ37" s="332" t="s">
        <v>989</v>
      </c>
      <c r="BK37" s="953">
        <f>BK36+1</f>
        <v>2030</v>
      </c>
      <c r="BL37" s="691">
        <f>BL36+BN36</f>
        <v>106741048602606.09</v>
      </c>
      <c r="BM37" s="894">
        <f>BM36</f>
        <v>2.5000000000000001E-2</v>
      </c>
      <c r="BN37" s="691">
        <f>BL37*BM37</f>
        <v>2668526215065.1523</v>
      </c>
      <c r="BP37" s="76"/>
      <c r="BQ37" s="953">
        <f>BQ36+1</f>
        <v>2030</v>
      </c>
      <c r="BR37" s="691">
        <f>BR20</f>
        <v>10737418.24</v>
      </c>
      <c r="BS37" s="987">
        <v>64</v>
      </c>
      <c r="BT37" s="875">
        <f t="shared" ref="BT37:BT55" si="16">BS37*BR37</f>
        <v>687194767.36000001</v>
      </c>
      <c r="BU37" s="977"/>
      <c r="BV37" s="977"/>
      <c r="BW37" s="691">
        <f t="shared" ref="BW37:BW55" si="17">BT37*BU37</f>
        <v>0</v>
      </c>
      <c r="BY37" s="691">
        <f t="shared" si="7"/>
        <v>0</v>
      </c>
      <c r="BZ37" s="691">
        <f>BY37+BZ36-CD37</f>
        <v>10977936408.576</v>
      </c>
      <c r="CA37" s="894">
        <f t="shared" si="14"/>
        <v>0.125</v>
      </c>
      <c r="CB37" s="975">
        <f t="shared" si="11"/>
        <v>1372242051.072</v>
      </c>
      <c r="CC37" s="691">
        <f t="shared" si="13"/>
        <v>1326909736.8948612</v>
      </c>
      <c r="CD37" s="183">
        <f>BT37*BV37</f>
        <v>0</v>
      </c>
      <c r="CE37" s="949">
        <f t="shared" si="10"/>
        <v>2030</v>
      </c>
    </row>
    <row r="38" spans="1:83" x14ac:dyDescent="0.3">
      <c r="A38" s="690"/>
      <c r="B38" s="690"/>
      <c r="C38" s="1121">
        <f>C37*2</f>
        <v>128</v>
      </c>
      <c r="D38" s="875">
        <f t="shared" ref="D38:D43" si="18">D37</f>
        <v>21474836.48</v>
      </c>
      <c r="E38" s="875">
        <f t="shared" si="15"/>
        <v>2748779069.4400001</v>
      </c>
      <c r="F38" s="410"/>
      <c r="G38" s="126" t="s">
        <v>732</v>
      </c>
      <c r="AQ38" s="1162" t="s">
        <v>1435</v>
      </c>
      <c r="AR38" s="1160"/>
      <c r="AS38" s="1160"/>
      <c r="AT38" s="1160"/>
      <c r="AU38" s="1161" t="s">
        <v>1284</v>
      </c>
      <c r="AV38" s="1164">
        <f>'POP Dimensions'!L16</f>
        <v>343597383.68000001</v>
      </c>
      <c r="AW38" s="88"/>
      <c r="AX38" s="88"/>
      <c r="AY38" s="253"/>
      <c r="AZ38" s="88"/>
      <c r="BA38" s="181"/>
      <c r="BJ38" s="332" t="s">
        <v>989</v>
      </c>
      <c r="BK38" s="953">
        <f>BK37+1</f>
        <v>2031</v>
      </c>
      <c r="BL38" s="691">
        <f>BL37+BN37</f>
        <v>109409574817671.25</v>
      </c>
      <c r="BM38" s="894">
        <f>BM37</f>
        <v>2.5000000000000001E-2</v>
      </c>
      <c r="BN38" s="691">
        <f>BL38*BM38</f>
        <v>2735239370441.7813</v>
      </c>
      <c r="BP38" s="76"/>
      <c r="BQ38" s="953">
        <f t="shared" ref="BQ38:BQ55" si="19">BQ37+1</f>
        <v>2031</v>
      </c>
      <c r="BR38" s="691">
        <f>BR20</f>
        <v>10737418.24</v>
      </c>
      <c r="BS38" s="987">
        <v>64</v>
      </c>
      <c r="BT38" s="875">
        <f t="shared" si="16"/>
        <v>687194767.36000001</v>
      </c>
      <c r="BU38" s="977"/>
      <c r="BV38" s="977"/>
      <c r="BW38" s="691">
        <f t="shared" si="17"/>
        <v>0</v>
      </c>
      <c r="BY38" s="691">
        <f t="shared" si="7"/>
        <v>0</v>
      </c>
      <c r="BZ38" s="691">
        <f t="shared" ref="BZ38:BZ55" si="20">BY38+BZ37-CD38</f>
        <v>10977936408.576</v>
      </c>
      <c r="CA38" s="894">
        <f t="shared" si="14"/>
        <v>0.125</v>
      </c>
      <c r="CB38" s="975">
        <f t="shared" si="11"/>
        <v>1372242051.072</v>
      </c>
      <c r="CC38" s="691">
        <f t="shared" si="13"/>
        <v>1326909736.8948612</v>
      </c>
      <c r="CD38" s="183">
        <f t="shared" ref="CD38:CD55" si="21">BT38*BV38</f>
        <v>0</v>
      </c>
      <c r="CE38" s="949">
        <f t="shared" si="10"/>
        <v>2031</v>
      </c>
    </row>
    <row r="39" spans="1:83" x14ac:dyDescent="0.3">
      <c r="A39" s="690"/>
      <c r="B39" s="690"/>
      <c r="C39" s="1151">
        <f>C38*2</f>
        <v>256</v>
      </c>
      <c r="D39" s="411">
        <f t="shared" si="18"/>
        <v>21474836.48</v>
      </c>
      <c r="E39" s="411">
        <f t="shared" si="15"/>
        <v>5497558138.8800001</v>
      </c>
      <c r="F39" s="896"/>
      <c r="G39" s="902" t="s">
        <v>732</v>
      </c>
      <c r="AQ39" s="1163" t="s">
        <v>1436</v>
      </c>
      <c r="AU39" s="1155" t="s">
        <v>1279</v>
      </c>
      <c r="AV39" s="1164">
        <v>-2600000000</v>
      </c>
      <c r="AW39" s="208">
        <v>0.05</v>
      </c>
      <c r="AX39" s="76">
        <f>AV49*AW39</f>
        <v>2558543162.1970859</v>
      </c>
      <c r="AY39" s="253" t="s">
        <v>1465</v>
      </c>
      <c r="AZ39" s="88"/>
      <c r="BA39" s="181"/>
      <c r="BD39" s="616"/>
      <c r="BE39" s="617"/>
      <c r="BJ39" s="332" t="s">
        <v>989</v>
      </c>
      <c r="BK39" s="953">
        <f>BK38+1</f>
        <v>2032</v>
      </c>
      <c r="BL39" s="691">
        <f>BL38+BN38</f>
        <v>112144814188113.03</v>
      </c>
      <c r="BM39" s="894">
        <f>BM38</f>
        <v>2.5000000000000001E-2</v>
      </c>
      <c r="BN39" s="691">
        <f>BL39*BM39</f>
        <v>2803620354702.8262</v>
      </c>
      <c r="BO39" s="895" t="s">
        <v>1281</v>
      </c>
      <c r="BP39" s="76"/>
      <c r="BQ39" s="953">
        <f t="shared" si="19"/>
        <v>2032</v>
      </c>
      <c r="BR39" s="691">
        <f t="shared" ref="BR39:BR55" si="22">BR29</f>
        <v>10737418.24</v>
      </c>
      <c r="BS39" s="987">
        <v>64</v>
      </c>
      <c r="BT39" s="875">
        <f t="shared" si="16"/>
        <v>687194767.36000001</v>
      </c>
      <c r="BU39" s="977"/>
      <c r="BV39" s="977"/>
      <c r="BW39" s="691">
        <f t="shared" si="17"/>
        <v>0</v>
      </c>
      <c r="BY39" s="691">
        <f t="shared" si="7"/>
        <v>0</v>
      </c>
      <c r="BZ39" s="691">
        <f t="shared" si="20"/>
        <v>10977936408.576</v>
      </c>
      <c r="CA39" s="894">
        <f t="shared" si="14"/>
        <v>0.125</v>
      </c>
      <c r="CB39" s="975">
        <f t="shared" si="11"/>
        <v>1372242051.072</v>
      </c>
      <c r="CC39" s="691">
        <f t="shared" si="13"/>
        <v>1326909736.8948612</v>
      </c>
      <c r="CD39" s="183">
        <f t="shared" si="21"/>
        <v>0</v>
      </c>
      <c r="CE39" s="949">
        <f t="shared" si="10"/>
        <v>2032</v>
      </c>
    </row>
    <row r="40" spans="1:83" x14ac:dyDescent="0.3">
      <c r="A40" s="690"/>
      <c r="B40" s="690"/>
      <c r="C40" s="1152">
        <f t="shared" ref="C40:C43" si="23">C39*2</f>
        <v>512</v>
      </c>
      <c r="D40" s="897">
        <f t="shared" si="18"/>
        <v>21474836.48</v>
      </c>
      <c r="E40" s="897">
        <f t="shared" si="15"/>
        <v>10995116277.76</v>
      </c>
      <c r="F40" s="874"/>
      <c r="G40" s="903" t="s">
        <v>732</v>
      </c>
      <c r="AU40" s="1156" t="s">
        <v>1277</v>
      </c>
      <c r="AV40" s="1164">
        <v>0</v>
      </c>
      <c r="AW40" s="88"/>
      <c r="AX40" s="253"/>
      <c r="AY40" s="253"/>
      <c r="AZ40" s="253"/>
      <c r="BA40" s="181"/>
      <c r="BD40" s="616"/>
      <c r="BE40" s="617"/>
      <c r="BJ40" s="332" t="s">
        <v>989</v>
      </c>
      <c r="BK40" s="953">
        <f t="shared" ref="BK40:BK55" si="24">BK39+1</f>
        <v>2033</v>
      </c>
      <c r="BL40" s="691">
        <f t="shared" ref="BL40:BL55" si="25">BL39+BN39</f>
        <v>114948434542815.86</v>
      </c>
      <c r="BM40" s="894">
        <f t="shared" ref="BM40:BM55" si="26">BM39</f>
        <v>2.5000000000000001E-2</v>
      </c>
      <c r="BN40" s="691">
        <f t="shared" ref="BN40:BN55" si="27">BL40*BM40</f>
        <v>2873710863570.3965</v>
      </c>
      <c r="BP40" s="76"/>
      <c r="BQ40" s="953">
        <f t="shared" si="19"/>
        <v>2033</v>
      </c>
      <c r="BR40" s="691">
        <f t="shared" si="22"/>
        <v>10737418.24</v>
      </c>
      <c r="BS40" s="987">
        <v>64</v>
      </c>
      <c r="BT40" s="875">
        <f t="shared" si="16"/>
        <v>687194767.36000001</v>
      </c>
      <c r="BU40" s="969"/>
      <c r="BV40" s="977"/>
      <c r="BW40" s="691">
        <f t="shared" si="17"/>
        <v>0</v>
      </c>
      <c r="BY40" s="691">
        <f t="shared" si="7"/>
        <v>0</v>
      </c>
      <c r="BZ40" s="691">
        <f t="shared" si="20"/>
        <v>10977936408.576</v>
      </c>
      <c r="CA40" s="894">
        <f t="shared" si="14"/>
        <v>0.125</v>
      </c>
      <c r="CB40" s="975">
        <f t="shared" si="11"/>
        <v>1372242051.072</v>
      </c>
      <c r="CC40" s="691">
        <f t="shared" si="13"/>
        <v>1326909736.8948612</v>
      </c>
      <c r="CD40" s="183">
        <f t="shared" si="21"/>
        <v>0</v>
      </c>
      <c r="CE40" s="949">
        <f t="shared" si="10"/>
        <v>2033</v>
      </c>
    </row>
    <row r="41" spans="1:83" x14ac:dyDescent="0.3">
      <c r="A41" s="690"/>
      <c r="B41" s="690"/>
      <c r="C41" s="1121">
        <f t="shared" si="23"/>
        <v>1024</v>
      </c>
      <c r="D41" s="875">
        <f t="shared" si="18"/>
        <v>21474836.48</v>
      </c>
      <c r="E41" s="875">
        <f t="shared" si="15"/>
        <v>21990232555.52</v>
      </c>
      <c r="F41" s="410"/>
      <c r="G41" s="126" t="s">
        <v>732</v>
      </c>
      <c r="AS41" s="173" t="s">
        <v>1433</v>
      </c>
      <c r="AT41" s="1158"/>
      <c r="AU41" s="1159" t="s">
        <v>1285</v>
      </c>
      <c r="AV41" s="719">
        <f>'POP Dimensions'!H17</f>
        <v>687194767.36000001</v>
      </c>
      <c r="AW41" s="88"/>
      <c r="AX41" s="253"/>
      <c r="AY41" s="253"/>
      <c r="AZ41" s="1215"/>
      <c r="BA41" s="181"/>
      <c r="BD41" s="12" t="s">
        <v>979</v>
      </c>
      <c r="BJ41" s="332" t="s">
        <v>989</v>
      </c>
      <c r="BK41" s="953">
        <f t="shared" si="24"/>
        <v>2034</v>
      </c>
      <c r="BL41" s="691">
        <f t="shared" si="25"/>
        <v>117822145406386.25</v>
      </c>
      <c r="BM41" s="894">
        <f t="shared" si="26"/>
        <v>2.5000000000000001E-2</v>
      </c>
      <c r="BN41" s="691">
        <f t="shared" si="27"/>
        <v>2945553635159.6563</v>
      </c>
      <c r="BP41" s="76"/>
      <c r="BQ41" s="953">
        <f t="shared" si="19"/>
        <v>2034</v>
      </c>
      <c r="BR41" s="691">
        <f t="shared" si="22"/>
        <v>10737418.24</v>
      </c>
      <c r="BS41" s="987">
        <v>64</v>
      </c>
      <c r="BT41" s="875">
        <f t="shared" si="16"/>
        <v>687194767.36000001</v>
      </c>
      <c r="BU41" s="969"/>
      <c r="BV41" s="977"/>
      <c r="BW41" s="691">
        <f t="shared" si="17"/>
        <v>0</v>
      </c>
      <c r="BY41" s="691">
        <f t="shared" si="7"/>
        <v>0</v>
      </c>
      <c r="BZ41" s="691">
        <f t="shared" si="20"/>
        <v>10977936408.576</v>
      </c>
      <c r="CA41" s="894">
        <f t="shared" si="14"/>
        <v>0.125</v>
      </c>
      <c r="CB41" s="975">
        <f t="shared" si="11"/>
        <v>1372242051.072</v>
      </c>
      <c r="CC41" s="691">
        <f t="shared" si="13"/>
        <v>1326909736.8948612</v>
      </c>
      <c r="CD41" s="183">
        <f t="shared" si="21"/>
        <v>0</v>
      </c>
      <c r="CE41" s="949">
        <f t="shared" si="10"/>
        <v>2034</v>
      </c>
    </row>
    <row r="42" spans="1:83" x14ac:dyDescent="0.3">
      <c r="A42" s="690"/>
      <c r="B42" s="690"/>
      <c r="C42" s="1153">
        <f t="shared" si="23"/>
        <v>2048</v>
      </c>
      <c r="D42" s="899">
        <f t="shared" si="18"/>
        <v>21474836.48</v>
      </c>
      <c r="E42" s="899">
        <f t="shared" si="15"/>
        <v>43980465111.040001</v>
      </c>
      <c r="F42" s="898"/>
      <c r="G42" s="905" t="s">
        <v>732</v>
      </c>
      <c r="AS42" s="618" t="s">
        <v>1434</v>
      </c>
      <c r="AU42" s="1155" t="s">
        <v>1278</v>
      </c>
      <c r="AV42" s="1164">
        <f>'Network Cities'!S37*2</f>
        <v>5887500001</v>
      </c>
      <c r="AW42" s="88"/>
      <c r="AX42" s="253"/>
      <c r="AY42" s="253"/>
      <c r="AZ42" s="1215"/>
      <c r="BA42" s="181"/>
      <c r="BD42" s="12"/>
      <c r="BJ42" s="332" t="s">
        <v>989</v>
      </c>
      <c r="BK42" s="953">
        <f t="shared" si="24"/>
        <v>2035</v>
      </c>
      <c r="BL42" s="691">
        <f t="shared" si="25"/>
        <v>120767699041545.91</v>
      </c>
      <c r="BM42" s="894">
        <f t="shared" si="26"/>
        <v>2.5000000000000001E-2</v>
      </c>
      <c r="BN42" s="691">
        <f t="shared" si="27"/>
        <v>3019192476038.6479</v>
      </c>
      <c r="BP42" s="76"/>
      <c r="BQ42" s="953">
        <f t="shared" si="19"/>
        <v>2035</v>
      </c>
      <c r="BR42" s="691">
        <f t="shared" si="22"/>
        <v>10737418.24</v>
      </c>
      <c r="BS42" s="987">
        <v>64</v>
      </c>
      <c r="BT42" s="875">
        <f t="shared" si="16"/>
        <v>687194767.36000001</v>
      </c>
      <c r="BU42" s="969"/>
      <c r="BV42" s="977"/>
      <c r="BW42" s="691">
        <f t="shared" si="17"/>
        <v>0</v>
      </c>
      <c r="BY42" s="691">
        <f t="shared" si="7"/>
        <v>0</v>
      </c>
      <c r="BZ42" s="691">
        <f t="shared" si="20"/>
        <v>10977936408.576</v>
      </c>
      <c r="CA42" s="894">
        <f t="shared" si="14"/>
        <v>0.125</v>
      </c>
      <c r="CB42" s="975">
        <f t="shared" si="11"/>
        <v>1372242051.072</v>
      </c>
      <c r="CC42" s="691">
        <f t="shared" si="13"/>
        <v>1326909736.8948612</v>
      </c>
      <c r="CD42" s="183">
        <f t="shared" si="21"/>
        <v>0</v>
      </c>
      <c r="CE42" s="949">
        <f t="shared" si="10"/>
        <v>2035</v>
      </c>
    </row>
    <row r="43" spans="1:83" x14ac:dyDescent="0.3">
      <c r="A43" s="690"/>
      <c r="B43" s="690"/>
      <c r="C43" s="1154">
        <f t="shared" si="23"/>
        <v>4096</v>
      </c>
      <c r="D43" s="906">
        <f t="shared" si="18"/>
        <v>21474836.48</v>
      </c>
      <c r="E43" s="906">
        <f t="shared" si="15"/>
        <v>87960930222.080002</v>
      </c>
      <c r="F43" s="907"/>
      <c r="G43" s="908" t="s">
        <v>732</v>
      </c>
      <c r="AU43" s="1155" t="s">
        <v>1161</v>
      </c>
      <c r="AV43" s="1164">
        <f>'POP Dimensions'!H17</f>
        <v>687194767.36000001</v>
      </c>
      <c r="AW43" s="88"/>
      <c r="AX43" s="600"/>
      <c r="AY43" s="253"/>
      <c r="AZ43" s="253"/>
      <c r="BA43" s="181"/>
      <c r="BD43" s="12"/>
      <c r="BJ43" s="332" t="s">
        <v>989</v>
      </c>
      <c r="BK43" s="953">
        <f t="shared" si="24"/>
        <v>2036</v>
      </c>
      <c r="BL43" s="691">
        <f t="shared" si="25"/>
        <v>123786891517584.55</v>
      </c>
      <c r="BM43" s="894">
        <f t="shared" si="26"/>
        <v>2.5000000000000001E-2</v>
      </c>
      <c r="BN43" s="691">
        <f t="shared" si="27"/>
        <v>3094672287939.6138</v>
      </c>
      <c r="BP43" s="76"/>
      <c r="BQ43" s="953">
        <f t="shared" si="19"/>
        <v>2036</v>
      </c>
      <c r="BR43" s="691">
        <f t="shared" si="22"/>
        <v>10737418.24</v>
      </c>
      <c r="BS43" s="987">
        <v>64</v>
      </c>
      <c r="BT43" s="875">
        <f t="shared" si="16"/>
        <v>687194767.36000001</v>
      </c>
      <c r="BU43" s="969"/>
      <c r="BV43" s="977"/>
      <c r="BW43" s="691">
        <f t="shared" si="17"/>
        <v>0</v>
      </c>
      <c r="BY43" s="691">
        <f t="shared" si="7"/>
        <v>0</v>
      </c>
      <c r="BZ43" s="691">
        <f t="shared" si="20"/>
        <v>10977936408.576</v>
      </c>
      <c r="CA43" s="894">
        <f t="shared" si="14"/>
        <v>0.125</v>
      </c>
      <c r="CB43" s="975">
        <f t="shared" si="11"/>
        <v>1372242051.072</v>
      </c>
      <c r="CC43" s="691">
        <f t="shared" si="13"/>
        <v>1326909736.8948612</v>
      </c>
      <c r="CD43" s="183">
        <f t="shared" si="21"/>
        <v>0</v>
      </c>
      <c r="CE43" s="949">
        <f t="shared" si="10"/>
        <v>2036</v>
      </c>
    </row>
    <row r="44" spans="1:83" x14ac:dyDescent="0.3">
      <c r="A44" s="690"/>
      <c r="B44" s="690"/>
      <c r="AS44" s="1162" t="s">
        <v>1433</v>
      </c>
      <c r="AT44" s="1160"/>
      <c r="AU44" s="1161" t="s">
        <v>1249</v>
      </c>
      <c r="AV44" s="1164">
        <f>'POP Dimensions'!J17</f>
        <v>1374389534.72</v>
      </c>
      <c r="AW44" s="88"/>
      <c r="AX44" s="253"/>
      <c r="AY44" s="254"/>
      <c r="AZ44" s="253"/>
      <c r="BA44" s="181"/>
      <c r="BD44" s="12"/>
      <c r="BJ44" s="332" t="s">
        <v>989</v>
      </c>
      <c r="BK44" s="953">
        <f t="shared" si="24"/>
        <v>2037</v>
      </c>
      <c r="BL44" s="691">
        <f t="shared" si="25"/>
        <v>126881563805524.16</v>
      </c>
      <c r="BM44" s="894">
        <f t="shared" si="26"/>
        <v>2.5000000000000001E-2</v>
      </c>
      <c r="BN44" s="691">
        <f t="shared" si="27"/>
        <v>3172039095138.104</v>
      </c>
      <c r="BP44" s="76"/>
      <c r="BQ44" s="953">
        <f t="shared" si="19"/>
        <v>2037</v>
      </c>
      <c r="BR44" s="691">
        <f t="shared" si="22"/>
        <v>10737418.24</v>
      </c>
      <c r="BS44" s="987">
        <v>64</v>
      </c>
      <c r="BT44" s="875">
        <f t="shared" si="16"/>
        <v>687194767.36000001</v>
      </c>
      <c r="BU44" s="969"/>
      <c r="BV44" s="977"/>
      <c r="BW44" s="691">
        <f t="shared" si="17"/>
        <v>0</v>
      </c>
      <c r="BY44" s="691">
        <f t="shared" si="7"/>
        <v>0</v>
      </c>
      <c r="BZ44" s="691">
        <f t="shared" si="20"/>
        <v>10977936408.576</v>
      </c>
      <c r="CA44" s="894">
        <f t="shared" si="14"/>
        <v>0.125</v>
      </c>
      <c r="CB44" s="975">
        <f t="shared" si="11"/>
        <v>1372242051.072</v>
      </c>
      <c r="CC44" s="691">
        <f t="shared" si="13"/>
        <v>1326909736.8948612</v>
      </c>
      <c r="CD44" s="183">
        <f t="shared" si="21"/>
        <v>0</v>
      </c>
      <c r="CE44" s="949">
        <f t="shared" si="10"/>
        <v>2037</v>
      </c>
    </row>
    <row r="45" spans="1:83" x14ac:dyDescent="0.3">
      <c r="A45" s="690"/>
      <c r="B45" s="690"/>
      <c r="AS45" s="1163" t="s">
        <v>1437</v>
      </c>
      <c r="AU45" s="1157" t="s">
        <v>148</v>
      </c>
      <c r="AV45" s="1164">
        <v>0</v>
      </c>
      <c r="AW45" s="88"/>
      <c r="AX45" s="254"/>
      <c r="AY45" s="254"/>
      <c r="AZ45" s="253"/>
      <c r="BA45" s="181"/>
      <c r="BD45" s="12"/>
      <c r="BJ45" s="332" t="s">
        <v>989</v>
      </c>
      <c r="BK45" s="953">
        <f t="shared" si="24"/>
        <v>2038</v>
      </c>
      <c r="BL45" s="691">
        <f t="shared" si="25"/>
        <v>130053602900662.27</v>
      </c>
      <c r="BM45" s="894">
        <f t="shared" si="26"/>
        <v>2.5000000000000001E-2</v>
      </c>
      <c r="BN45" s="691">
        <f t="shared" si="27"/>
        <v>3251340072516.5566</v>
      </c>
      <c r="BP45" s="76"/>
      <c r="BQ45" s="953">
        <f t="shared" si="19"/>
        <v>2038</v>
      </c>
      <c r="BR45" s="691">
        <f t="shared" si="22"/>
        <v>10737418.24</v>
      </c>
      <c r="BS45" s="987">
        <v>64</v>
      </c>
      <c r="BT45" s="875">
        <f t="shared" si="16"/>
        <v>687194767.36000001</v>
      </c>
      <c r="BU45" s="969"/>
      <c r="BV45" s="977"/>
      <c r="BW45" s="691">
        <f t="shared" si="17"/>
        <v>0</v>
      </c>
      <c r="BY45" s="691">
        <f t="shared" si="7"/>
        <v>0</v>
      </c>
      <c r="BZ45" s="691">
        <f t="shared" si="20"/>
        <v>10977936408.576</v>
      </c>
      <c r="CA45" s="894">
        <f t="shared" si="14"/>
        <v>0.125</v>
      </c>
      <c r="CB45" s="975">
        <f t="shared" si="11"/>
        <v>1372242051.072</v>
      </c>
      <c r="CC45" s="691">
        <f t="shared" si="13"/>
        <v>1326909736.8948612</v>
      </c>
      <c r="CD45" s="183">
        <f t="shared" si="21"/>
        <v>0</v>
      </c>
      <c r="CE45" s="949">
        <f t="shared" si="10"/>
        <v>2038</v>
      </c>
    </row>
    <row r="46" spans="1:83" x14ac:dyDescent="0.3">
      <c r="A46" s="690"/>
      <c r="B46" s="690"/>
      <c r="AU46" s="1150" t="s">
        <v>948</v>
      </c>
      <c r="AV46" s="1216">
        <f>'2027 - ŔÉŚ 4 Éfficiency to 92'!AT29</f>
        <v>3366565109.3135376</v>
      </c>
      <c r="AW46" s="88"/>
      <c r="AX46" s="253"/>
      <c r="AY46" s="253"/>
      <c r="AZ46" s="253"/>
      <c r="BA46" s="181" t="s">
        <v>805</v>
      </c>
      <c r="BB46" s="1" t="s">
        <v>998</v>
      </c>
      <c r="BD46" s="19">
        <v>0.01</v>
      </c>
      <c r="BJ46" s="332" t="s">
        <v>989</v>
      </c>
      <c r="BK46" s="953">
        <f t="shared" si="24"/>
        <v>2039</v>
      </c>
      <c r="BL46" s="691">
        <f t="shared" si="25"/>
        <v>133304942973178.83</v>
      </c>
      <c r="BM46" s="894">
        <f t="shared" si="26"/>
        <v>2.5000000000000001E-2</v>
      </c>
      <c r="BN46" s="691">
        <f t="shared" si="27"/>
        <v>3332623574329.4707</v>
      </c>
      <c r="BP46" s="76"/>
      <c r="BQ46" s="953">
        <f t="shared" si="19"/>
        <v>2039</v>
      </c>
      <c r="BR46" s="691">
        <f t="shared" si="22"/>
        <v>10737418.24</v>
      </c>
      <c r="BS46" s="987">
        <v>64</v>
      </c>
      <c r="BT46" s="875">
        <f t="shared" si="16"/>
        <v>687194767.36000001</v>
      </c>
      <c r="BU46" s="969"/>
      <c r="BV46" s="977"/>
      <c r="BW46" s="691">
        <f t="shared" si="17"/>
        <v>0</v>
      </c>
      <c r="BY46" s="691">
        <f t="shared" si="7"/>
        <v>0</v>
      </c>
      <c r="BZ46" s="691">
        <f t="shared" si="20"/>
        <v>10977936408.576</v>
      </c>
      <c r="CA46" s="894">
        <f t="shared" si="14"/>
        <v>0.125</v>
      </c>
      <c r="CB46" s="975">
        <f t="shared" si="11"/>
        <v>1372242051.072</v>
      </c>
      <c r="CC46" s="691">
        <f t="shared" si="13"/>
        <v>1326909736.8948612</v>
      </c>
      <c r="CD46" s="183">
        <f t="shared" si="21"/>
        <v>0</v>
      </c>
      <c r="CE46" s="949">
        <f t="shared" si="10"/>
        <v>2039</v>
      </c>
    </row>
    <row r="47" spans="1:83" x14ac:dyDescent="0.3">
      <c r="K47" s="690"/>
      <c r="AU47" s="122" t="s">
        <v>1385</v>
      </c>
      <c r="AV47" s="183">
        <f>SUM(AV35:AV46)</f>
        <v>10777233714.473537</v>
      </c>
      <c r="AW47" s="251"/>
      <c r="AX47" s="76" t="s">
        <v>805</v>
      </c>
      <c r="AY47" s="691">
        <f>AE82</f>
        <v>6630548568.2489748</v>
      </c>
      <c r="AZ47" s="76"/>
      <c r="BA47" s="691">
        <f>AY47</f>
        <v>6630548568.2489748</v>
      </c>
      <c r="BB47" s="691">
        <f>BL31</f>
        <v>92042471679365.094</v>
      </c>
      <c r="BC47" s="76"/>
      <c r="BD47" s="736">
        <f>BB47*BD46</f>
        <v>920424716793.651</v>
      </c>
      <c r="BE47" s="76"/>
      <c r="BF47" s="208">
        <f>BD47/BA60</f>
        <v>15.923914104110645</v>
      </c>
      <c r="BG47" s="76"/>
      <c r="BH47" s="76"/>
      <c r="BI47" s="76"/>
      <c r="BJ47" s="332" t="s">
        <v>989</v>
      </c>
      <c r="BK47" s="953">
        <f t="shared" si="24"/>
        <v>2040</v>
      </c>
      <c r="BL47" s="691">
        <f t="shared" si="25"/>
        <v>136637566547508.3</v>
      </c>
      <c r="BM47" s="894">
        <f t="shared" si="26"/>
        <v>2.5000000000000001E-2</v>
      </c>
      <c r="BN47" s="691">
        <f t="shared" si="27"/>
        <v>3415939163687.7075</v>
      </c>
      <c r="BP47" s="76"/>
      <c r="BQ47" s="953">
        <f t="shared" si="19"/>
        <v>2040</v>
      </c>
      <c r="BR47" s="691">
        <f t="shared" si="22"/>
        <v>10737418.24</v>
      </c>
      <c r="BS47" s="987">
        <v>64</v>
      </c>
      <c r="BT47" s="875">
        <f t="shared" si="16"/>
        <v>687194767.36000001</v>
      </c>
      <c r="BU47" s="969"/>
      <c r="BV47" s="977"/>
      <c r="BW47" s="691">
        <f t="shared" si="17"/>
        <v>0</v>
      </c>
      <c r="BY47" s="691">
        <f t="shared" si="7"/>
        <v>0</v>
      </c>
      <c r="BZ47" s="691">
        <f t="shared" si="20"/>
        <v>10977936408.576</v>
      </c>
      <c r="CA47" s="894">
        <f t="shared" si="14"/>
        <v>0.125</v>
      </c>
      <c r="CB47" s="975">
        <f t="shared" si="11"/>
        <v>1372242051.072</v>
      </c>
      <c r="CC47" s="691">
        <f t="shared" si="13"/>
        <v>1326909736.8948612</v>
      </c>
      <c r="CD47" s="183">
        <f t="shared" si="21"/>
        <v>0</v>
      </c>
      <c r="CE47" s="949">
        <f t="shared" si="10"/>
        <v>2040</v>
      </c>
    </row>
    <row r="48" spans="1:83" ht="16.2" thickBot="1" x14ac:dyDescent="0.35">
      <c r="AU48" s="1150" t="s">
        <v>309</v>
      </c>
      <c r="AV48" s="182">
        <f>AV47*AV34</f>
        <v>77340603122.503067</v>
      </c>
      <c r="AZ48" s="565" t="s">
        <v>894</v>
      </c>
      <c r="BA48" s="208">
        <f>BA32/BA47</f>
        <v>7.7174403772530002</v>
      </c>
      <c r="BB48" s="367"/>
      <c r="BD48" s="192">
        <f>BA60</f>
        <v>57801411812.190689</v>
      </c>
      <c r="BE48" s="193"/>
      <c r="BF48" s="1" t="s">
        <v>1339</v>
      </c>
      <c r="BJ48" s="332" t="s">
        <v>989</v>
      </c>
      <c r="BK48" s="953">
        <f t="shared" si="24"/>
        <v>2041</v>
      </c>
      <c r="BL48" s="691">
        <f t="shared" si="25"/>
        <v>140053505711196</v>
      </c>
      <c r="BM48" s="894">
        <f t="shared" si="26"/>
        <v>2.5000000000000001E-2</v>
      </c>
      <c r="BN48" s="691">
        <f t="shared" si="27"/>
        <v>3501337642779.9004</v>
      </c>
      <c r="BP48" s="76"/>
      <c r="BQ48" s="953">
        <f t="shared" si="19"/>
        <v>2041</v>
      </c>
      <c r="BR48" s="691">
        <f t="shared" si="22"/>
        <v>10737418.24</v>
      </c>
      <c r="BS48" s="987">
        <v>64</v>
      </c>
      <c r="BT48" s="875">
        <f t="shared" si="16"/>
        <v>687194767.36000001</v>
      </c>
      <c r="BU48" s="969"/>
      <c r="BV48" s="977"/>
      <c r="BW48" s="691">
        <f t="shared" si="17"/>
        <v>0</v>
      </c>
      <c r="BY48" s="691">
        <f t="shared" si="7"/>
        <v>0</v>
      </c>
      <c r="BZ48" s="691">
        <f t="shared" si="20"/>
        <v>10977936408.576</v>
      </c>
      <c r="CA48" s="894">
        <f t="shared" si="14"/>
        <v>0.125</v>
      </c>
      <c r="CB48" s="975">
        <f t="shared" si="11"/>
        <v>1372242051.072</v>
      </c>
      <c r="CC48" s="691">
        <f t="shared" si="13"/>
        <v>1326909736.8948612</v>
      </c>
      <c r="CD48" s="183">
        <f t="shared" si="21"/>
        <v>0</v>
      </c>
      <c r="CE48" s="949">
        <f t="shared" si="10"/>
        <v>2041</v>
      </c>
    </row>
    <row r="49" spans="3:83" ht="16.2" thickBot="1" x14ac:dyDescent="0.35">
      <c r="C49" s="1" t="s">
        <v>801</v>
      </c>
      <c r="AU49" s="1150" t="s">
        <v>308</v>
      </c>
      <c r="AV49" s="182">
        <f>AV48*AW49</f>
        <v>51170863243.941711</v>
      </c>
      <c r="AW49" s="680">
        <v>0.66163000000000005</v>
      </c>
      <c r="AX49" s="1" t="s">
        <v>1275</v>
      </c>
      <c r="AZ49" s="565" t="s">
        <v>888</v>
      </c>
      <c r="BA49" s="953">
        <v>8</v>
      </c>
      <c r="BB49" s="1" t="s">
        <v>889</v>
      </c>
      <c r="BF49" s="1" t="s">
        <v>1340</v>
      </c>
      <c r="BJ49" s="332" t="s">
        <v>989</v>
      </c>
      <c r="BK49" s="953">
        <f t="shared" si="24"/>
        <v>2042</v>
      </c>
      <c r="BL49" s="691">
        <f t="shared" si="25"/>
        <v>143554843353975.91</v>
      </c>
      <c r="BM49" s="894">
        <f t="shared" si="26"/>
        <v>2.5000000000000001E-2</v>
      </c>
      <c r="BN49" s="691">
        <f t="shared" si="27"/>
        <v>3588871083849.3979</v>
      </c>
      <c r="BP49" s="76"/>
      <c r="BQ49" s="953">
        <f t="shared" si="19"/>
        <v>2042</v>
      </c>
      <c r="BR49" s="691">
        <f t="shared" si="22"/>
        <v>10737418.24</v>
      </c>
      <c r="BS49" s="987">
        <v>64</v>
      </c>
      <c r="BT49" s="875">
        <f t="shared" si="16"/>
        <v>687194767.36000001</v>
      </c>
      <c r="BU49" s="969"/>
      <c r="BV49" s="977"/>
      <c r="BW49" s="691">
        <f t="shared" si="17"/>
        <v>0</v>
      </c>
      <c r="BY49" s="691">
        <f t="shared" si="7"/>
        <v>0</v>
      </c>
      <c r="BZ49" s="691">
        <f t="shared" si="20"/>
        <v>10977936408.576</v>
      </c>
      <c r="CA49" s="894">
        <f t="shared" si="14"/>
        <v>0.125</v>
      </c>
      <c r="CB49" s="975">
        <f t="shared" si="11"/>
        <v>1372242051.072</v>
      </c>
      <c r="CC49" s="691">
        <f t="shared" si="13"/>
        <v>1326909736.8948612</v>
      </c>
      <c r="CD49" s="183">
        <f t="shared" si="21"/>
        <v>0</v>
      </c>
      <c r="CE49" s="949">
        <f t="shared" si="10"/>
        <v>2042</v>
      </c>
    </row>
    <row r="50" spans="3:83" x14ac:dyDescent="0.3">
      <c r="C50" s="13"/>
      <c r="D50" s="4"/>
      <c r="E50" s="120" t="s">
        <v>275</v>
      </c>
      <c r="F50" s="4"/>
      <c r="G50" s="173" t="s">
        <v>288</v>
      </c>
      <c r="H50" s="462" t="s">
        <v>1367</v>
      </c>
      <c r="I50" s="170" t="s">
        <v>1373</v>
      </c>
      <c r="J50" s="175" t="s">
        <v>297</v>
      </c>
      <c r="K50" s="170" t="s">
        <v>802</v>
      </c>
      <c r="AV50" s="239"/>
      <c r="AX50" s="1" t="s">
        <v>1276</v>
      </c>
      <c r="AZ50" s="565" t="s">
        <v>890</v>
      </c>
      <c r="BA50" s="208">
        <f>BA48/BA49</f>
        <v>0.96468004715662503</v>
      </c>
      <c r="BJ50" s="332" t="s">
        <v>989</v>
      </c>
      <c r="BK50" s="953">
        <f t="shared" si="24"/>
        <v>2043</v>
      </c>
      <c r="BL50" s="691">
        <f t="shared" si="25"/>
        <v>147143714437825.31</v>
      </c>
      <c r="BM50" s="894">
        <f t="shared" si="26"/>
        <v>2.5000000000000001E-2</v>
      </c>
      <c r="BN50" s="691">
        <f t="shared" si="27"/>
        <v>3678592860945.6328</v>
      </c>
      <c r="BP50" s="76"/>
      <c r="BQ50" s="953">
        <f t="shared" si="19"/>
        <v>2043</v>
      </c>
      <c r="BR50" s="691">
        <f t="shared" si="22"/>
        <v>10737418.24</v>
      </c>
      <c r="BS50" s="987">
        <v>64</v>
      </c>
      <c r="BT50" s="875">
        <f t="shared" si="16"/>
        <v>687194767.36000001</v>
      </c>
      <c r="BU50" s="969"/>
      <c r="BV50" s="977"/>
      <c r="BW50" s="691">
        <f t="shared" si="17"/>
        <v>0</v>
      </c>
      <c r="BY50" s="691">
        <f t="shared" si="7"/>
        <v>0</v>
      </c>
      <c r="BZ50" s="691">
        <f t="shared" si="20"/>
        <v>10977936408.576</v>
      </c>
      <c r="CA50" s="894">
        <f t="shared" si="14"/>
        <v>0.125</v>
      </c>
      <c r="CB50" s="975">
        <f t="shared" si="11"/>
        <v>1372242051.072</v>
      </c>
      <c r="CC50" s="691">
        <f t="shared" si="13"/>
        <v>1326909736.8948612</v>
      </c>
      <c r="CD50" s="183">
        <f t="shared" si="21"/>
        <v>0</v>
      </c>
      <c r="CE50" s="949">
        <f t="shared" si="10"/>
        <v>2043</v>
      </c>
    </row>
    <row r="51" spans="3:83" x14ac:dyDescent="0.3">
      <c r="C51" s="122"/>
      <c r="D51" s="7"/>
      <c r="E51" s="875">
        <f>E8</f>
        <v>10777233714.473537</v>
      </c>
      <c r="F51" s="7"/>
      <c r="G51" s="468" t="s">
        <v>1386</v>
      </c>
      <c r="H51" s="469"/>
      <c r="I51" s="470"/>
      <c r="J51" s="471"/>
      <c r="K51" s="470"/>
      <c r="AV51" s="277" t="s">
        <v>748</v>
      </c>
      <c r="AZ51" s="239"/>
      <c r="BA51" s="76"/>
      <c r="BJ51" s="332" t="s">
        <v>989</v>
      </c>
      <c r="BK51" s="953">
        <f t="shared" si="24"/>
        <v>2044</v>
      </c>
      <c r="BL51" s="691">
        <f t="shared" si="25"/>
        <v>150822307298770.94</v>
      </c>
      <c r="BM51" s="894">
        <f t="shared" si="26"/>
        <v>2.5000000000000001E-2</v>
      </c>
      <c r="BN51" s="691">
        <f t="shared" si="27"/>
        <v>3770557682469.2734</v>
      </c>
      <c r="BP51" s="76"/>
      <c r="BQ51" s="953">
        <f t="shared" si="19"/>
        <v>2044</v>
      </c>
      <c r="BR51" s="691">
        <f t="shared" si="22"/>
        <v>10737418.24</v>
      </c>
      <c r="BS51" s="987">
        <v>64</v>
      </c>
      <c r="BT51" s="875">
        <f t="shared" si="16"/>
        <v>687194767.36000001</v>
      </c>
      <c r="BU51" s="969"/>
      <c r="BV51" s="977"/>
      <c r="BW51" s="691">
        <f t="shared" si="17"/>
        <v>0</v>
      </c>
      <c r="BY51" s="691">
        <f t="shared" si="7"/>
        <v>0</v>
      </c>
      <c r="BZ51" s="691">
        <f t="shared" si="20"/>
        <v>10977936408.576</v>
      </c>
      <c r="CA51" s="894">
        <f t="shared" si="14"/>
        <v>0.125</v>
      </c>
      <c r="CB51" s="975">
        <f t="shared" si="11"/>
        <v>1372242051.072</v>
      </c>
      <c r="CC51" s="691">
        <f t="shared" si="13"/>
        <v>1326909736.8948612</v>
      </c>
      <c r="CD51" s="183">
        <f t="shared" si="21"/>
        <v>0</v>
      </c>
      <c r="CE51" s="949">
        <f t="shared" si="10"/>
        <v>2044</v>
      </c>
    </row>
    <row r="52" spans="3:83" ht="16.2" thickBot="1" x14ac:dyDescent="0.35">
      <c r="C52" s="122"/>
      <c r="D52" s="7"/>
      <c r="E52" s="7"/>
      <c r="F52" s="127"/>
      <c r="G52" s="127" t="s">
        <v>280</v>
      </c>
      <c r="H52" s="7"/>
      <c r="I52" s="459" t="s">
        <v>282</v>
      </c>
      <c r="J52" s="122"/>
      <c r="K52" s="8"/>
      <c r="AV52" s="277" t="s">
        <v>747</v>
      </c>
      <c r="AX52" s="110" t="s">
        <v>746</v>
      </c>
      <c r="AZ52" s="565" t="s">
        <v>891</v>
      </c>
      <c r="BA52" s="76"/>
      <c r="BJ52" s="332" t="s">
        <v>989</v>
      </c>
      <c r="BK52" s="953">
        <f t="shared" si="24"/>
        <v>2045</v>
      </c>
      <c r="BL52" s="691">
        <f t="shared" si="25"/>
        <v>154592864981240.22</v>
      </c>
      <c r="BM52" s="894">
        <f t="shared" si="26"/>
        <v>2.5000000000000001E-2</v>
      </c>
      <c r="BN52" s="691">
        <f t="shared" si="27"/>
        <v>3864821624531.0059</v>
      </c>
      <c r="BP52" s="76"/>
      <c r="BQ52" s="953">
        <f t="shared" si="19"/>
        <v>2045</v>
      </c>
      <c r="BR52" s="691">
        <f t="shared" si="22"/>
        <v>10737418.24</v>
      </c>
      <c r="BS52" s="987">
        <v>64</v>
      </c>
      <c r="BT52" s="875">
        <f t="shared" si="16"/>
        <v>687194767.36000001</v>
      </c>
      <c r="BU52" s="969"/>
      <c r="BV52" s="977"/>
      <c r="BW52" s="691">
        <f t="shared" si="17"/>
        <v>0</v>
      </c>
      <c r="BY52" s="691">
        <f t="shared" si="7"/>
        <v>0</v>
      </c>
      <c r="BZ52" s="691">
        <f t="shared" si="20"/>
        <v>10977936408.576</v>
      </c>
      <c r="CA52" s="894">
        <f t="shared" si="14"/>
        <v>0.125</v>
      </c>
      <c r="CB52" s="975">
        <f t="shared" si="11"/>
        <v>1372242051.072</v>
      </c>
      <c r="CC52" s="691">
        <f t="shared" si="13"/>
        <v>1326909736.8948612</v>
      </c>
      <c r="CD52" s="183">
        <f t="shared" si="21"/>
        <v>0</v>
      </c>
      <c r="CE52" s="949">
        <f t="shared" si="10"/>
        <v>2045</v>
      </c>
    </row>
    <row r="53" spans="3:83" ht="16.2" thickBot="1" x14ac:dyDescent="0.35">
      <c r="C53" s="122"/>
      <c r="D53" s="7"/>
      <c r="E53" s="7"/>
      <c r="F53" s="129">
        <v>0.25</v>
      </c>
      <c r="G53" s="130">
        <f>E57*F53</f>
        <v>149740768.45565671</v>
      </c>
      <c r="H53" s="460">
        <v>0.5</v>
      </c>
      <c r="I53" s="130">
        <f>G53*H53</f>
        <v>74870384.227828354</v>
      </c>
      <c r="J53" s="460">
        <v>0</v>
      </c>
      <c r="K53" s="458">
        <f>I53*J53</f>
        <v>0</v>
      </c>
      <c r="AT53" s="933">
        <f>AW53</f>
        <v>512</v>
      </c>
      <c r="AU53" s="927" t="s">
        <v>745</v>
      </c>
      <c r="AV53" s="578">
        <f>AX53*AW53</f>
        <v>10995116277.76</v>
      </c>
      <c r="AW53" s="934">
        <v>512</v>
      </c>
      <c r="AX53" s="578">
        <f>'POP Dimensions'!J15</f>
        <v>21474836.48</v>
      </c>
      <c r="AY53" s="239"/>
      <c r="AZ53" s="565" t="s">
        <v>901</v>
      </c>
      <c r="BA53" s="484">
        <v>0.17</v>
      </c>
      <c r="BB53" s="1" t="s">
        <v>895</v>
      </c>
      <c r="BJ53" s="332" t="s">
        <v>989</v>
      </c>
      <c r="BK53" s="953">
        <f t="shared" si="24"/>
        <v>2046</v>
      </c>
      <c r="BL53" s="691">
        <f t="shared" si="25"/>
        <v>158457686605771.22</v>
      </c>
      <c r="BM53" s="894">
        <f t="shared" si="26"/>
        <v>2.5000000000000001E-2</v>
      </c>
      <c r="BN53" s="691">
        <f t="shared" si="27"/>
        <v>3961442165144.2808</v>
      </c>
      <c r="BP53" s="76"/>
      <c r="BQ53" s="953">
        <f t="shared" si="19"/>
        <v>2046</v>
      </c>
      <c r="BR53" s="691">
        <f t="shared" si="22"/>
        <v>10737418.24</v>
      </c>
      <c r="BS53" s="987">
        <v>64</v>
      </c>
      <c r="BT53" s="875">
        <f t="shared" si="16"/>
        <v>687194767.36000001</v>
      </c>
      <c r="BU53" s="969"/>
      <c r="BV53" s="977"/>
      <c r="BW53" s="691">
        <f t="shared" si="17"/>
        <v>0</v>
      </c>
      <c r="BY53" s="691">
        <f t="shared" si="7"/>
        <v>0</v>
      </c>
      <c r="BZ53" s="691">
        <f t="shared" si="20"/>
        <v>10977936408.576</v>
      </c>
      <c r="CA53" s="894">
        <f t="shared" si="14"/>
        <v>0.125</v>
      </c>
      <c r="CB53" s="975">
        <f t="shared" si="11"/>
        <v>1372242051.072</v>
      </c>
      <c r="CC53" s="691">
        <f t="shared" si="13"/>
        <v>1326909736.8948612</v>
      </c>
      <c r="CD53" s="183">
        <f t="shared" si="21"/>
        <v>0</v>
      </c>
      <c r="CE53" s="949">
        <f t="shared" si="10"/>
        <v>2046</v>
      </c>
    </row>
    <row r="54" spans="3:83" ht="16.2" thickBot="1" x14ac:dyDescent="0.35">
      <c r="C54" s="122"/>
      <c r="D54" s="7"/>
      <c r="E54" s="7"/>
      <c r="F54" s="133"/>
      <c r="G54" s="134" t="s">
        <v>290</v>
      </c>
      <c r="H54" s="7"/>
      <c r="I54" s="457" t="s">
        <v>283</v>
      </c>
      <c r="J54" s="122"/>
      <c r="K54" s="8"/>
      <c r="AT54" s="927"/>
      <c r="AV54" s="999" t="s">
        <v>1355</v>
      </c>
      <c r="AW54" s="254"/>
      <c r="AX54" s="248" t="s">
        <v>1290</v>
      </c>
      <c r="AZ54" s="566"/>
      <c r="BA54" s="76"/>
      <c r="BJ54" s="332" t="s">
        <v>989</v>
      </c>
      <c r="BK54" s="953">
        <f t="shared" si="24"/>
        <v>2047</v>
      </c>
      <c r="BL54" s="691">
        <f t="shared" si="25"/>
        <v>162419128770915.5</v>
      </c>
      <c r="BM54" s="894">
        <f t="shared" si="26"/>
        <v>2.5000000000000001E-2</v>
      </c>
      <c r="BN54" s="691">
        <f t="shared" si="27"/>
        <v>4060478219272.8877</v>
      </c>
      <c r="BP54" s="76"/>
      <c r="BQ54" s="953">
        <f t="shared" si="19"/>
        <v>2047</v>
      </c>
      <c r="BR54" s="691">
        <f t="shared" si="22"/>
        <v>10737418.24</v>
      </c>
      <c r="BS54" s="987">
        <v>64</v>
      </c>
      <c r="BT54" s="875">
        <f t="shared" si="16"/>
        <v>687194767.36000001</v>
      </c>
      <c r="BU54" s="969"/>
      <c r="BV54" s="977"/>
      <c r="BW54" s="691">
        <f t="shared" si="17"/>
        <v>0</v>
      </c>
      <c r="BY54" s="691">
        <f t="shared" si="7"/>
        <v>0</v>
      </c>
      <c r="BZ54" s="691">
        <f t="shared" si="20"/>
        <v>10977936408.576</v>
      </c>
      <c r="CA54" s="894">
        <f t="shared" si="14"/>
        <v>0.125</v>
      </c>
      <c r="CB54" s="975">
        <f t="shared" si="11"/>
        <v>1372242051.072</v>
      </c>
      <c r="CC54" s="691">
        <f t="shared" si="13"/>
        <v>1326909736.8948612</v>
      </c>
      <c r="CD54" s="183">
        <f t="shared" si="21"/>
        <v>0</v>
      </c>
      <c r="CE54" s="949">
        <f t="shared" si="10"/>
        <v>2047</v>
      </c>
    </row>
    <row r="55" spans="3:83" ht="16.2" thickBot="1" x14ac:dyDescent="0.35">
      <c r="C55" s="122"/>
      <c r="D55" s="7"/>
      <c r="E55" s="7"/>
      <c r="F55" s="133">
        <v>0.25</v>
      </c>
      <c r="G55" s="135">
        <f>E57*F55</f>
        <v>149740768.45565671</v>
      </c>
      <c r="H55" s="461">
        <v>0.9</v>
      </c>
      <c r="I55" s="135">
        <f>G55*H55</f>
        <v>134766691.61009103</v>
      </c>
      <c r="J55" s="461">
        <v>0</v>
      </c>
      <c r="K55" s="440">
        <f>I55*J55</f>
        <v>0</v>
      </c>
      <c r="AT55" s="239"/>
      <c r="AV55" s="1002" t="s">
        <v>867</v>
      </c>
      <c r="AW55" s="254"/>
      <c r="AX55" s="253"/>
      <c r="AZ55" s="239"/>
      <c r="BA55" s="484">
        <v>0.17</v>
      </c>
      <c r="BB55" s="32">
        <f>BA55</f>
        <v>0.17</v>
      </c>
      <c r="BJ55" s="332" t="s">
        <v>989</v>
      </c>
      <c r="BK55" s="953">
        <f t="shared" si="24"/>
        <v>2048</v>
      </c>
      <c r="BL55" s="691">
        <f t="shared" si="25"/>
        <v>166479606990188.38</v>
      </c>
      <c r="BM55" s="894">
        <f t="shared" si="26"/>
        <v>2.5000000000000001E-2</v>
      </c>
      <c r="BN55" s="691">
        <f t="shared" si="27"/>
        <v>4161990174754.7095</v>
      </c>
      <c r="BO55" s="895" t="s">
        <v>1280</v>
      </c>
      <c r="BP55" s="76"/>
      <c r="BQ55" s="953">
        <f t="shared" si="19"/>
        <v>2048</v>
      </c>
      <c r="BR55" s="691">
        <f t="shared" si="22"/>
        <v>10737418.24</v>
      </c>
      <c r="BS55" s="987">
        <v>64</v>
      </c>
      <c r="BT55" s="875">
        <f t="shared" si="16"/>
        <v>687194767.36000001</v>
      </c>
      <c r="BU55" s="969"/>
      <c r="BV55" s="977"/>
      <c r="BW55" s="691">
        <f t="shared" si="17"/>
        <v>0</v>
      </c>
      <c r="BY55" s="691">
        <f t="shared" si="7"/>
        <v>0</v>
      </c>
      <c r="BZ55" s="691">
        <f t="shared" si="20"/>
        <v>10977936408.576</v>
      </c>
      <c r="CA55" s="894">
        <f t="shared" si="14"/>
        <v>0.125</v>
      </c>
      <c r="CB55" s="975">
        <f t="shared" si="11"/>
        <v>1372242051.072</v>
      </c>
      <c r="CC55" s="691">
        <f t="shared" si="13"/>
        <v>1326909736.8948612</v>
      </c>
      <c r="CD55" s="183">
        <f t="shared" si="21"/>
        <v>0</v>
      </c>
      <c r="CE55" s="949">
        <f t="shared" si="10"/>
        <v>2048</v>
      </c>
    </row>
    <row r="56" spans="3:83" ht="18.600000000000001" thickBot="1" x14ac:dyDescent="0.4">
      <c r="C56" s="122"/>
      <c r="D56" s="7"/>
      <c r="E56" s="7"/>
      <c r="F56" s="136"/>
      <c r="G56" s="136" t="s">
        <v>279</v>
      </c>
      <c r="H56" s="7"/>
      <c r="I56" s="451" t="s">
        <v>284</v>
      </c>
      <c r="J56" s="122"/>
      <c r="K56" s="8"/>
      <c r="S56" s="88"/>
      <c r="AT56" s="239"/>
      <c r="AV56" s="719">
        <f>AV48-AV53</f>
        <v>66345486844.743065</v>
      </c>
      <c r="AW56" s="253"/>
      <c r="AX56" s="253"/>
      <c r="AY56" s="253"/>
      <c r="AZ56" s="239" t="s">
        <v>892</v>
      </c>
      <c r="BA56" s="615">
        <f>BB58</f>
        <v>5.6745885126860296</v>
      </c>
      <c r="BB56" s="569" t="s">
        <v>980</v>
      </c>
      <c r="BC56" s="569"/>
      <c r="BD56" s="181"/>
      <c r="BE56" s="181"/>
      <c r="BF56" s="252"/>
      <c r="BG56" s="252"/>
      <c r="BH56" s="252"/>
      <c r="BI56" s="252"/>
      <c r="BO56" s="1"/>
      <c r="BU56" s="979">
        <f>SUM(BU22:BU55)</f>
        <v>15.975</v>
      </c>
      <c r="BV56" s="979">
        <f>SUM(BV22:BV55)</f>
        <v>0</v>
      </c>
    </row>
    <row r="57" spans="3:83" ht="16.8" thickTop="1" thickBot="1" x14ac:dyDescent="0.35">
      <c r="C57" s="137" t="s">
        <v>291</v>
      </c>
      <c r="D57" s="138">
        <f>E57/E51</f>
        <v>5.5576698964803502E-2</v>
      </c>
      <c r="E57" s="139">
        <f>E14</f>
        <v>598963073.82262683</v>
      </c>
      <c r="F57" s="140">
        <v>0.5</v>
      </c>
      <c r="G57" s="139">
        <f>E57*F57</f>
        <v>299481536.91131341</v>
      </c>
      <c r="H57" s="463">
        <v>0.95</v>
      </c>
      <c r="I57" s="139">
        <f>G57*H57</f>
        <v>284507460.06574774</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48"/>
      <c r="AU57" s="937" t="s">
        <v>1293</v>
      </c>
      <c r="AV57" s="1003"/>
      <c r="AW57" s="253"/>
      <c r="AX57" s="877" t="s">
        <v>1293</v>
      </c>
      <c r="AY57" s="252"/>
      <c r="AZ57" s="239"/>
      <c r="BA57" s="208">
        <f>BA50</f>
        <v>0.96468004715662503</v>
      </c>
      <c r="BB57" s="80">
        <f>BA57</f>
        <v>0.96468004715662503</v>
      </c>
      <c r="BY57" s="77" t="s">
        <v>966</v>
      </c>
      <c r="BZ57" s="77"/>
      <c r="CA57" s="77" t="s">
        <v>965</v>
      </c>
      <c r="CB57" s="77"/>
      <c r="CC57" s="77"/>
    </row>
    <row r="58" spans="3:83"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48"/>
      <c r="AU58" s="937" t="s">
        <v>1294</v>
      </c>
      <c r="AV58" s="996">
        <f>AV56*AW58</f>
        <v>1326909736.8948612</v>
      </c>
      <c r="AW58" s="923">
        <v>0.02</v>
      </c>
      <c r="AX58" s="924" t="s">
        <v>1443</v>
      </c>
      <c r="AY58" s="925"/>
      <c r="AZ58" s="239"/>
      <c r="BA58" s="76"/>
      <c r="BB58" s="1">
        <f>BB57/BB55</f>
        <v>5.6745885126860296</v>
      </c>
      <c r="BY58" s="77" t="s">
        <v>785</v>
      </c>
      <c r="BZ58" s="77"/>
      <c r="CA58" s="77" t="s">
        <v>962</v>
      </c>
      <c r="CB58" s="77"/>
      <c r="CC58" s="77"/>
    </row>
    <row r="59" spans="3:83"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76"/>
      <c r="AS59" s="410"/>
      <c r="AT59" s="928"/>
      <c r="AU59" s="948" t="s">
        <v>1295</v>
      </c>
      <c r="AV59" s="911">
        <f>AV56*AW59</f>
        <v>3317274342.2371535</v>
      </c>
      <c r="AW59" s="912">
        <v>0.05</v>
      </c>
      <c r="AX59" s="875" t="s">
        <v>1162</v>
      </c>
      <c r="AY59" s="126"/>
      <c r="AZ59" s="239"/>
      <c r="BA59" s="76"/>
      <c r="BF59" s="32"/>
    </row>
    <row r="60" spans="3:83" ht="16.2" thickBot="1" x14ac:dyDescent="0.35">
      <c r="C60" s="397" t="s">
        <v>276</v>
      </c>
      <c r="D60" s="398">
        <f>100%-D57-D63</f>
        <v>0.78125</v>
      </c>
      <c r="E60" s="399">
        <f>E51*D60</f>
        <v>8419713839.4324512</v>
      </c>
      <c r="F60" s="400">
        <v>1</v>
      </c>
      <c r="G60" s="399">
        <f>E60*F60</f>
        <v>8419713839.4324512</v>
      </c>
      <c r="H60" s="464">
        <v>0.9</v>
      </c>
      <c r="I60" s="399">
        <f>G60*H60</f>
        <v>7577742455.4892063</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76"/>
      <c r="AS60" s="76"/>
      <c r="AT60" s="239"/>
      <c r="AU60" s="948" t="s">
        <v>1296</v>
      </c>
      <c r="AV60" s="911">
        <f>AV56*AW60</f>
        <v>2653819473.7897224</v>
      </c>
      <c r="AW60" s="912">
        <v>0.04</v>
      </c>
      <c r="AX60" s="875" t="s">
        <v>1441</v>
      </c>
      <c r="AY60" s="126"/>
      <c r="AZ60" s="239"/>
      <c r="BA60" s="691">
        <f>BA32+BA47</f>
        <v>57801411812.190689</v>
      </c>
      <c r="BB60" s="1" t="s">
        <v>958</v>
      </c>
      <c r="BO60" s="1"/>
      <c r="BS60" s="1"/>
      <c r="CD60" s="1"/>
      <c r="CE60" s="1"/>
    </row>
    <row r="61" spans="3:83"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76"/>
      <c r="AS61" s="410"/>
      <c r="AT61" s="927"/>
      <c r="AU61" s="948" t="s">
        <v>1297</v>
      </c>
      <c r="AV61" s="911">
        <f>AV56*AW61</f>
        <v>3980729210.6845837</v>
      </c>
      <c r="AW61" s="912">
        <v>0.06</v>
      </c>
      <c r="AX61" s="875" t="s">
        <v>1303</v>
      </c>
      <c r="AY61" s="126"/>
      <c r="AZ61" s="253"/>
      <c r="BA61" s="647">
        <f>BA60/BA47</f>
        <v>8.7174403772530002</v>
      </c>
    </row>
    <row r="62" spans="3:83"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76"/>
      <c r="AS62" s="76"/>
      <c r="AT62" s="239"/>
      <c r="AU62" s="948" t="s">
        <v>1300</v>
      </c>
      <c r="AV62" s="911">
        <f>AV56*AW62</f>
        <v>3980729210.6845837</v>
      </c>
      <c r="AW62" s="912">
        <v>0.06</v>
      </c>
      <c r="AX62" s="410" t="s">
        <v>1442</v>
      </c>
      <c r="AY62" s="126"/>
      <c r="AZ62" s="253"/>
    </row>
    <row r="63" spans="3:83" ht="16.2" thickBot="1" x14ac:dyDescent="0.35">
      <c r="C63" s="149" t="s">
        <v>737</v>
      </c>
      <c r="D63" s="150">
        <f>E63/E51</f>
        <v>0.16317330103519651</v>
      </c>
      <c r="E63" s="151">
        <f>E21</f>
        <v>1758556801.2184596</v>
      </c>
      <c r="F63" s="152">
        <v>0.3</v>
      </c>
      <c r="G63" s="151">
        <f>E63*F63</f>
        <v>527567040.36553788</v>
      </c>
      <c r="H63" s="465">
        <v>0.9</v>
      </c>
      <c r="I63" s="151">
        <f>G63*H63</f>
        <v>474810336.32898408</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926"/>
      <c r="AR63" s="410"/>
      <c r="AS63" s="410"/>
      <c r="AT63" s="927"/>
      <c r="AU63" s="948" t="s">
        <v>1305</v>
      </c>
      <c r="AV63" s="911">
        <f>AV56*AW63</f>
        <v>2653819473.7897224</v>
      </c>
      <c r="AW63" s="912">
        <v>0.04</v>
      </c>
      <c r="AX63" s="410" t="s">
        <v>148</v>
      </c>
      <c r="AY63" s="126"/>
      <c r="AZ63" s="253"/>
    </row>
    <row r="64" spans="3:83"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O64" s="88"/>
      <c r="AQ64" s="106"/>
      <c r="AR64" s="964"/>
      <c r="AS64" s="106"/>
      <c r="AT64" s="929"/>
      <c r="AU64" s="938"/>
      <c r="AV64" s="1004"/>
      <c r="AW64" s="1005"/>
      <c r="AX64" s="1005"/>
      <c r="AY64" s="903"/>
      <c r="AZ64" s="253"/>
    </row>
    <row r="65" spans="3:83" ht="16.2" thickBot="1" x14ac:dyDescent="0.35">
      <c r="C65" s="141"/>
      <c r="D65" s="429"/>
      <c r="E65" s="371"/>
      <c r="F65" s="430">
        <v>0.25</v>
      </c>
      <c r="G65" s="432">
        <f>E63*F65</f>
        <v>439639200.3046149</v>
      </c>
      <c r="H65" s="466">
        <v>0.95</v>
      </c>
      <c r="I65" s="432">
        <f>G65*H65</f>
        <v>417657240.28938413</v>
      </c>
      <c r="J65" s="466">
        <v>0</v>
      </c>
      <c r="K65" s="449">
        <f>I65*J65</f>
        <v>0</v>
      </c>
      <c r="S65" s="88"/>
      <c r="Y65" s="238"/>
      <c r="AE65" s="252"/>
      <c r="AF65" s="252"/>
      <c r="AG65" s="252"/>
      <c r="AH65" s="252"/>
      <c r="AI65" s="252"/>
      <c r="AJ65" s="252"/>
      <c r="AK65" s="252"/>
      <c r="AL65" s="252"/>
      <c r="AM65" s="252"/>
      <c r="AO65" s="88"/>
      <c r="AQ65" s="106"/>
      <c r="AR65" s="964"/>
      <c r="AS65" s="106"/>
      <c r="AT65" s="927"/>
      <c r="AU65" s="939" t="s">
        <v>1299</v>
      </c>
      <c r="AV65" s="1006">
        <f>AV53</f>
        <v>10995116277.76</v>
      </c>
      <c r="AW65" s="935">
        <f>AV65/AV56</f>
        <v>0.16572515781653666</v>
      </c>
      <c r="AX65" s="898" t="s">
        <v>1311</v>
      </c>
      <c r="AY65" s="905"/>
      <c r="AZ65" s="253"/>
    </row>
    <row r="66" spans="3:83"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O66" s="88"/>
      <c r="AP66" s="88"/>
      <c r="AQ66" s="106"/>
      <c r="AR66" s="964"/>
      <c r="AS66" s="106"/>
      <c r="AT66" s="106"/>
      <c r="AU66" s="940" t="s">
        <v>1325</v>
      </c>
      <c r="AV66" s="930">
        <f>AV56*AW66</f>
        <v>331727434.22371531</v>
      </c>
      <c r="AW66" s="931">
        <v>5.0000000000000001E-3</v>
      </c>
      <c r="AX66" s="898" t="s">
        <v>1315</v>
      </c>
      <c r="AY66" s="905"/>
      <c r="AZ66" s="946">
        <v>272</v>
      </c>
      <c r="BA66" s="181" t="s">
        <v>1314</v>
      </c>
    </row>
    <row r="67" spans="3:83" ht="16.2" thickBot="1" x14ac:dyDescent="0.35">
      <c r="C67" s="122"/>
      <c r="D67" s="7"/>
      <c r="E67" s="7"/>
      <c r="F67" s="153">
        <v>0.2</v>
      </c>
      <c r="G67" s="99">
        <f>E63*F67</f>
        <v>351711360.24369192</v>
      </c>
      <c r="H67" s="467">
        <v>0.9</v>
      </c>
      <c r="I67" s="99">
        <f>G67*H67</f>
        <v>316540224.21932274</v>
      </c>
      <c r="J67" s="467">
        <v>0</v>
      </c>
      <c r="K67" s="443">
        <f>I67*J67</f>
        <v>0</v>
      </c>
      <c r="S67" s="88"/>
      <c r="W67" s="949">
        <v>2024</v>
      </c>
      <c r="Y67" s="76"/>
      <c r="AA67" s="952"/>
      <c r="AB67" s="252"/>
      <c r="AD67" s="252"/>
      <c r="AE67" s="252"/>
      <c r="AF67" s="252"/>
      <c r="AG67" s="252"/>
      <c r="AH67" s="252"/>
      <c r="AI67" s="252"/>
      <c r="AJ67" s="252"/>
      <c r="AK67" s="252"/>
      <c r="AL67" s="252"/>
      <c r="AM67" s="252"/>
      <c r="AO67" s="88"/>
      <c r="AQ67" s="106"/>
      <c r="AR67" s="964"/>
      <c r="AS67" s="106"/>
      <c r="AT67" s="106"/>
      <c r="AU67" s="940" t="s">
        <v>1307</v>
      </c>
      <c r="AV67" s="930">
        <f>AV56*AW67</f>
        <v>1990364605.3422918</v>
      </c>
      <c r="AW67" s="931">
        <v>0.03</v>
      </c>
      <c r="AX67" s="898" t="s">
        <v>1323</v>
      </c>
      <c r="AY67" s="905"/>
      <c r="AZ67" s="945">
        <v>100</v>
      </c>
      <c r="BA67" s="938">
        <f>AZ66*AZ67</f>
        <v>27200</v>
      </c>
      <c r="BB67" s="1" t="s">
        <v>1316</v>
      </c>
    </row>
    <row r="68" spans="3:83"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O68" s="88"/>
      <c r="AP68" s="88"/>
      <c r="AQ68" s="106"/>
      <c r="AR68" s="964"/>
      <c r="AS68" s="106"/>
      <c r="AT68" s="251"/>
      <c r="AU68" s="940" t="s">
        <v>1308</v>
      </c>
      <c r="AV68" s="930">
        <f>AV56*AW68</f>
        <v>1990364605.3422918</v>
      </c>
      <c r="AW68" s="931">
        <v>0.03</v>
      </c>
      <c r="AX68" s="898" t="s">
        <v>1438</v>
      </c>
      <c r="AY68" s="905"/>
      <c r="AZ68" s="600"/>
      <c r="BA68" s="1">
        <v>1000</v>
      </c>
      <c r="BB68" s="1" t="s">
        <v>226</v>
      </c>
    </row>
    <row r="69" spans="3:83" ht="16.2" thickBot="1" x14ac:dyDescent="0.35">
      <c r="C69" s="122"/>
      <c r="D69" s="7"/>
      <c r="E69" s="7"/>
      <c r="F69" s="438">
        <v>0.2</v>
      </c>
      <c r="G69" s="446">
        <f>E63*F69</f>
        <v>351711360.24369192</v>
      </c>
      <c r="H69" s="447">
        <v>0.25</v>
      </c>
      <c r="I69" s="446">
        <f>G69*H69</f>
        <v>87927840.06092298</v>
      </c>
      <c r="J69" s="447">
        <v>0</v>
      </c>
      <c r="K69" s="439">
        <f>I69*J69</f>
        <v>0</v>
      </c>
      <c r="Q69" s="240" t="s">
        <v>952</v>
      </c>
      <c r="S69" s="88"/>
      <c r="W69" s="691">
        <f>AY47</f>
        <v>6630548568.2489748</v>
      </c>
      <c r="Y69" s="238"/>
      <c r="AA69" s="952"/>
      <c r="AB69" s="88"/>
      <c r="AD69" s="88"/>
      <c r="AE69" s="252"/>
      <c r="AF69" s="252"/>
      <c r="AG69" s="252"/>
      <c r="AH69" s="252"/>
      <c r="AI69" s="252"/>
      <c r="AJ69" s="252"/>
      <c r="AK69" s="252"/>
      <c r="AL69" s="252"/>
      <c r="AM69" s="252"/>
      <c r="AN69" s="88"/>
      <c r="AO69" s="88"/>
      <c r="AP69" s="88"/>
      <c r="AQ69" s="88"/>
      <c r="AR69" s="958"/>
      <c r="AS69" s="88"/>
      <c r="AT69" s="88"/>
      <c r="AU69" s="940" t="s">
        <v>1317</v>
      </c>
      <c r="AV69" s="930">
        <f>AV56*AW69</f>
        <v>1990364605.3422918</v>
      </c>
      <c r="AW69" s="931">
        <v>0.03</v>
      </c>
      <c r="AX69" s="898" t="s">
        <v>1356</v>
      </c>
      <c r="AY69" s="905"/>
      <c r="AZ69" s="601"/>
      <c r="BA69" s="1">
        <f>BA67*BA68</f>
        <v>27200000</v>
      </c>
      <c r="BB69" s="1" t="s">
        <v>1320</v>
      </c>
    </row>
    <row r="70" spans="3:83" x14ac:dyDescent="0.3">
      <c r="C70" s="122"/>
      <c r="D70" s="7"/>
      <c r="E70" s="7"/>
      <c r="F70" s="142"/>
      <c r="G70" s="371"/>
      <c r="H70" s="142"/>
      <c r="I70" s="434"/>
      <c r="J70" s="142"/>
      <c r="K70" s="434"/>
      <c r="L70" s="240" t="s">
        <v>1367</v>
      </c>
      <c r="O70" s="240" t="s">
        <v>803</v>
      </c>
      <c r="Q70" s="951">
        <f>O72</f>
        <v>512</v>
      </c>
      <c r="S70" s="248" t="s">
        <v>367</v>
      </c>
      <c r="U70" s="77" t="s">
        <v>1328</v>
      </c>
      <c r="W70" s="77" t="s">
        <v>806</v>
      </c>
      <c r="Y70" s="238"/>
      <c r="AA70" s="88"/>
      <c r="AB70" s="88"/>
      <c r="AD70" s="88"/>
      <c r="AE70" s="252"/>
      <c r="AF70" s="252"/>
      <c r="AG70" s="252"/>
      <c r="AH70" s="252"/>
      <c r="AI70" s="252"/>
      <c r="AJ70" s="252"/>
      <c r="AK70" s="252"/>
      <c r="AL70" s="252"/>
      <c r="AM70" s="252"/>
      <c r="AN70" s="88"/>
      <c r="AO70" s="88"/>
      <c r="AP70" s="88"/>
      <c r="AQ70" s="88"/>
      <c r="AR70" s="958"/>
      <c r="AS70" s="88"/>
      <c r="AT70" s="88"/>
      <c r="AU70" s="940" t="s">
        <v>1318</v>
      </c>
      <c r="AV70" s="930">
        <f>AV56*AW70</f>
        <v>1990364605.3422918</v>
      </c>
      <c r="AW70" s="931">
        <v>0.03</v>
      </c>
      <c r="AX70" s="898" t="s">
        <v>1357</v>
      </c>
      <c r="AY70" s="905"/>
      <c r="AZ70" s="600"/>
      <c r="BA70" s="1">
        <f>BA69*2</f>
        <v>54400000</v>
      </c>
      <c r="BB70" s="1" t="s">
        <v>1346</v>
      </c>
      <c r="BO70" s="1"/>
      <c r="BS70" s="1"/>
      <c r="CD70" s="1"/>
      <c r="CE70" s="1"/>
    </row>
    <row r="71" spans="3:83" x14ac:dyDescent="0.3">
      <c r="C71" s="122"/>
      <c r="D71" s="7"/>
      <c r="E71" s="7"/>
      <c r="F71" s="7"/>
      <c r="G71" s="7"/>
      <c r="H71" s="7"/>
      <c r="I71" s="8"/>
      <c r="J71" s="122"/>
      <c r="K71" s="8"/>
      <c r="L71" s="240" t="s">
        <v>1387</v>
      </c>
      <c r="M71" s="239" t="s">
        <v>1327</v>
      </c>
      <c r="O71" s="240" t="s">
        <v>902</v>
      </c>
      <c r="Q71" s="240" t="s">
        <v>902</v>
      </c>
      <c r="S71" s="955">
        <f>AW53</f>
        <v>512</v>
      </c>
      <c r="U71" s="77" t="s">
        <v>804</v>
      </c>
      <c r="V71" s="947"/>
      <c r="W71" s="319">
        <v>0.3</v>
      </c>
      <c r="Y71" s="76" t="s">
        <v>893</v>
      </c>
      <c r="Z71" s="76"/>
      <c r="AA71" s="77" t="s">
        <v>1332</v>
      </c>
      <c r="AB71" s="88"/>
      <c r="AE71" s="958"/>
      <c r="AF71" s="644" t="s">
        <v>986</v>
      </c>
      <c r="AG71" s="958"/>
      <c r="AP71" s="88"/>
      <c r="AQ71" s="88"/>
      <c r="AR71" s="958"/>
      <c r="AS71" s="88"/>
      <c r="AT71" s="88"/>
      <c r="AU71" s="940" t="s">
        <v>1319</v>
      </c>
      <c r="AV71" s="930">
        <f>AV56*AW71</f>
        <v>1990364605.3422918</v>
      </c>
      <c r="AW71" s="931">
        <v>0.03</v>
      </c>
      <c r="AX71" s="898" t="s">
        <v>1358</v>
      </c>
      <c r="AY71" s="905"/>
      <c r="AZ71" s="936"/>
    </row>
    <row r="72" spans="3:83" x14ac:dyDescent="0.3">
      <c r="C72" s="158"/>
      <c r="D72" s="10"/>
      <c r="E72" s="10"/>
      <c r="F72" s="10"/>
      <c r="G72" s="159">
        <f>SUM(G53:G71)</f>
        <v>10689305874.412615</v>
      </c>
      <c r="H72" s="160"/>
      <c r="I72" s="172">
        <f>SUM(I53:I71)</f>
        <v>9368822632.2914867</v>
      </c>
      <c r="J72" s="158"/>
      <c r="K72" s="481">
        <f>SUM(K53:K71)</f>
        <v>0</v>
      </c>
      <c r="L72" s="482">
        <f>AV34</f>
        <v>7.1762945085469099</v>
      </c>
      <c r="M72" s="480">
        <f>K72*L72</f>
        <v>0</v>
      </c>
      <c r="N72" s="239"/>
      <c r="O72" s="950">
        <f>AW53</f>
        <v>512</v>
      </c>
      <c r="P72" s="239"/>
      <c r="Q72" s="480">
        <f>M72*O72</f>
        <v>0</v>
      </c>
      <c r="R72" s="239"/>
      <c r="S72" s="956">
        <f>M72*S71</f>
        <v>0</v>
      </c>
      <c r="T72" s="239"/>
      <c r="U72" s="910">
        <f>Q72+S72</f>
        <v>0</v>
      </c>
      <c r="V72" s="949" t="s">
        <v>1330</v>
      </c>
      <c r="W72" s="910">
        <f>W69*W71</f>
        <v>1989164570.4746923</v>
      </c>
      <c r="X72" s="949" t="s">
        <v>1330</v>
      </c>
      <c r="Y72" s="910">
        <f>AV59+AV60+AV61+AV62+AV63</f>
        <v>16586371711.185766</v>
      </c>
      <c r="Z72" s="949" t="s">
        <v>1331</v>
      </c>
      <c r="AA72" s="910">
        <f>U72+W72+Y72</f>
        <v>18575536281.660458</v>
      </c>
      <c r="AB72" s="238"/>
      <c r="AC72" s="238"/>
      <c r="AD72" s="961"/>
      <c r="AE72" s="644" t="s">
        <v>805</v>
      </c>
      <c r="AF72" s="958"/>
      <c r="AG72" s="644" t="s">
        <v>987</v>
      </c>
      <c r="AH72" s="958"/>
      <c r="AI72" s="958"/>
      <c r="AJ72" s="958"/>
      <c r="AK72" s="958"/>
      <c r="AL72" s="958"/>
      <c r="AM72" s="958"/>
      <c r="AN72" s="958"/>
      <c r="AO72" s="958"/>
      <c r="AP72" s="958"/>
      <c r="AQ72" s="181"/>
      <c r="AR72" s="958"/>
      <c r="AS72" s="88"/>
      <c r="AT72" s="88"/>
      <c r="AU72" s="940" t="s">
        <v>1312</v>
      </c>
      <c r="AV72" s="930">
        <f>AV56*AW72</f>
        <v>1990364605.3422918</v>
      </c>
      <c r="AW72" s="931">
        <v>0.03</v>
      </c>
      <c r="AX72" s="898" t="s">
        <v>1359</v>
      </c>
      <c r="AY72" s="905"/>
      <c r="AZ72" s="812"/>
    </row>
    <row r="73" spans="3:83"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Q73" s="88"/>
      <c r="AR73" s="88"/>
      <c r="AS73" s="88"/>
      <c r="AT73" s="88"/>
      <c r="AU73" s="940" t="s">
        <v>1313</v>
      </c>
      <c r="AV73" s="930">
        <f>AV56*AW73</f>
        <v>1326909736.8948612</v>
      </c>
      <c r="AW73" s="931">
        <v>0.02</v>
      </c>
      <c r="AX73" s="898" t="s">
        <v>1361</v>
      </c>
      <c r="AY73" s="905"/>
      <c r="AZ73" s="255"/>
    </row>
    <row r="74" spans="3:83"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AQ74" s="88"/>
      <c r="AR74" s="252"/>
      <c r="AS74" s="252"/>
      <c r="AT74" s="252"/>
      <c r="AU74" s="940" t="s">
        <v>1324</v>
      </c>
      <c r="AV74" s="930">
        <f>AV56*AW74</f>
        <v>3317274342.2371535</v>
      </c>
      <c r="AW74" s="931">
        <v>0.05</v>
      </c>
      <c r="AX74" s="898" t="s">
        <v>1439</v>
      </c>
      <c r="AY74" s="905"/>
      <c r="AZ74" s="255"/>
    </row>
    <row r="75" spans="3:83"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AQ75" s="88"/>
      <c r="AR75" s="252"/>
      <c r="AS75" s="88"/>
      <c r="AT75" s="88"/>
      <c r="AU75" s="940" t="s">
        <v>1306</v>
      </c>
      <c r="AV75" s="930">
        <f>AV56*AW75</f>
        <v>1326909736.8948612</v>
      </c>
      <c r="AW75" s="931">
        <v>0.02</v>
      </c>
      <c r="AX75" s="899" t="s">
        <v>1360</v>
      </c>
      <c r="AY75" s="932"/>
      <c r="AZ75" s="255"/>
    </row>
    <row r="76" spans="3:83" x14ac:dyDescent="0.3">
      <c r="R76" s="88"/>
      <c r="S76" s="252"/>
      <c r="T76" s="88"/>
      <c r="U76" s="88"/>
      <c r="V76" s="88"/>
      <c r="W76" s="88"/>
      <c r="X76" s="88"/>
      <c r="Y76" s="88"/>
      <c r="Z76" s="361" t="s">
        <v>1347</v>
      </c>
      <c r="AA76" s="736">
        <f>AA72</f>
        <v>18575536281.660458</v>
      </c>
      <c r="AB76" s="88"/>
      <c r="AD76" s="960">
        <f t="shared" si="30"/>
        <v>2018</v>
      </c>
      <c r="AE76" s="691">
        <f t="shared" si="31"/>
        <v>5717501250</v>
      </c>
      <c r="AF76" s="963">
        <f t="shared" si="28"/>
        <v>2.5000000000000001E-2</v>
      </c>
      <c r="AG76" s="691">
        <f t="shared" si="29"/>
        <v>142937531.25</v>
      </c>
      <c r="AQ76" s="88"/>
      <c r="AR76" s="252"/>
      <c r="AS76" s="88"/>
      <c r="AT76" s="88"/>
      <c r="AU76" s="941" t="s">
        <v>1309</v>
      </c>
      <c r="AV76" s="930">
        <f>AV56*AW76</f>
        <v>1326909736.8948612</v>
      </c>
      <c r="AW76" s="931">
        <v>0.02</v>
      </c>
      <c r="AX76" s="899" t="s">
        <v>1440</v>
      </c>
      <c r="AY76" s="932"/>
      <c r="AZ76" s="255"/>
    </row>
    <row r="77" spans="3:83"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Q77" s="88"/>
      <c r="AR77" s="88"/>
      <c r="AS77" s="88"/>
      <c r="AT77" s="88"/>
      <c r="AU77" s="940" t="s">
        <v>1310</v>
      </c>
      <c r="AV77" s="904">
        <f>AV56*AW77</f>
        <v>3317274342.2371535</v>
      </c>
      <c r="AW77" s="1065">
        <v>0.05</v>
      </c>
      <c r="AX77" s="898" t="s">
        <v>1362</v>
      </c>
      <c r="AY77" s="905"/>
      <c r="AZ77" s="255"/>
    </row>
    <row r="78" spans="3:83" x14ac:dyDescent="0.3">
      <c r="R78" s="88"/>
      <c r="S78" s="252"/>
      <c r="T78" s="88"/>
      <c r="U78" s="88"/>
      <c r="V78" s="88"/>
      <c r="W78" s="88"/>
      <c r="X78" s="88"/>
      <c r="Y78" s="88"/>
      <c r="Z78" s="555" t="s">
        <v>1333</v>
      </c>
      <c r="AA78" s="957">
        <f>AA72/W72</f>
        <v>9.3383607155377852</v>
      </c>
      <c r="AB78" s="252"/>
      <c r="AD78" s="960">
        <f t="shared" ref="AD78:AD106" si="32">AD77+1</f>
        <v>2020</v>
      </c>
      <c r="AE78" s="691">
        <f t="shared" si="31"/>
        <v>6006949750.78125</v>
      </c>
      <c r="AF78" s="963">
        <f t="shared" si="28"/>
        <v>2.5000000000000001E-2</v>
      </c>
      <c r="AG78" s="691">
        <f t="shared" si="29"/>
        <v>150173743.76953125</v>
      </c>
      <c r="AQ78" s="88"/>
      <c r="AR78" s="88"/>
      <c r="AS78" s="88"/>
      <c r="AT78" s="88"/>
      <c r="AU78" s="940" t="s">
        <v>1452</v>
      </c>
      <c r="AV78" s="904">
        <f>AV56*AW78</f>
        <v>3317274342.2371535</v>
      </c>
      <c r="AW78" s="1065">
        <v>0.05</v>
      </c>
      <c r="AX78" s="898" t="s">
        <v>1450</v>
      </c>
      <c r="AY78" s="905"/>
      <c r="AZ78" s="255"/>
    </row>
    <row r="79" spans="3:83"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AQ79" s="88"/>
      <c r="AR79" s="88"/>
      <c r="AS79" s="88"/>
      <c r="AT79" s="88"/>
      <c r="AU79" s="940" t="s">
        <v>1454</v>
      </c>
      <c r="AV79" s="904">
        <f>AV56*AW79</f>
        <v>6634548684.4743071</v>
      </c>
      <c r="AW79" s="1065">
        <v>0.1</v>
      </c>
      <c r="AX79" s="898" t="s">
        <v>1455</v>
      </c>
      <c r="AY79" s="905"/>
      <c r="AZ79" s="255"/>
    </row>
    <row r="80" spans="3:83"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AQ80" s="88"/>
      <c r="AR80" s="88"/>
      <c r="AS80" s="88"/>
      <c r="AT80" s="88"/>
      <c r="AU80" s="940" t="s">
        <v>1326</v>
      </c>
      <c r="AV80" s="904">
        <f>AV56*AW80</f>
        <v>1990364605.3422918</v>
      </c>
      <c r="AW80" s="1065">
        <v>0.03</v>
      </c>
      <c r="AX80" s="898" t="s">
        <v>1348</v>
      </c>
      <c r="AY80" s="905"/>
      <c r="AZ80" s="251"/>
    </row>
    <row r="81" spans="18:53"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AQ81" s="88"/>
      <c r="AR81" s="88"/>
      <c r="AS81" s="88"/>
      <c r="AT81" s="88"/>
      <c r="AU81" s="940" t="s">
        <v>1298</v>
      </c>
      <c r="AV81" s="930">
        <f>AV56*AW81</f>
        <v>1990364605.3422918</v>
      </c>
      <c r="AW81" s="931">
        <v>0.03</v>
      </c>
      <c r="AX81" s="898" t="s">
        <v>1363</v>
      </c>
      <c r="AY81" s="905"/>
      <c r="AZ81" s="251"/>
    </row>
    <row r="82" spans="18:53"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AQ82" s="88"/>
      <c r="AR82" s="88"/>
      <c r="AS82" s="88"/>
      <c r="AT82" s="88"/>
      <c r="AU82" s="942"/>
      <c r="AV82" s="1067"/>
      <c r="AW82" s="1068">
        <f>SUM(AW58:AW81)</f>
        <v>0.99072515781653703</v>
      </c>
      <c r="AX82" s="1069"/>
      <c r="AY82" s="1070"/>
      <c r="AZ82" s="251"/>
    </row>
    <row r="83" spans="18:53"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AQ83" s="88"/>
      <c r="AR83" s="88"/>
      <c r="AS83" s="88"/>
      <c r="AT83" s="88"/>
      <c r="AU83" s="941" t="s">
        <v>1321</v>
      </c>
      <c r="AV83" s="904">
        <f>AV56*AW83</f>
        <v>615343920.07001066</v>
      </c>
      <c r="AW83" s="1065">
        <f>100%-AW82</f>
        <v>9.2748421834629724E-3</v>
      </c>
      <c r="AX83" s="898" t="s">
        <v>148</v>
      </c>
      <c r="AY83" s="905"/>
      <c r="AZ83" s="251"/>
    </row>
    <row r="84" spans="18:53"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AQ84" s="88"/>
      <c r="AR84" s="88"/>
      <c r="AS84" s="88"/>
      <c r="AT84" s="88"/>
      <c r="AU84" s="943" t="s">
        <v>1322</v>
      </c>
      <c r="AV84" s="1071">
        <f>SUM(AV58:AV83)</f>
        <v>66345486844.743034</v>
      </c>
      <c r="AW84" s="1072">
        <f>AW82+AW83</f>
        <v>1</v>
      </c>
      <c r="AX84" s="1073" t="s">
        <v>59</v>
      </c>
      <c r="AY84" s="1074"/>
      <c r="AZ84" s="251"/>
    </row>
    <row r="85" spans="18:53" x14ac:dyDescent="0.3">
      <c r="R85" s="88"/>
      <c r="S85" s="88"/>
      <c r="T85" s="88"/>
      <c r="U85" s="88"/>
      <c r="V85" s="88"/>
      <c r="AD85" s="960">
        <f t="shared" si="32"/>
        <v>2027</v>
      </c>
      <c r="AE85" s="691">
        <f t="shared" si="31"/>
        <v>7140375591.7544937</v>
      </c>
      <c r="AF85" s="963">
        <f t="shared" si="28"/>
        <v>2.5000000000000001E-2</v>
      </c>
      <c r="AG85" s="691">
        <f t="shared" si="29"/>
        <v>178509389.79386234</v>
      </c>
      <c r="AQ85" s="88"/>
      <c r="AR85" s="88"/>
      <c r="AS85" s="88"/>
      <c r="AT85" s="88"/>
      <c r="AU85" s="943" t="s">
        <v>1329</v>
      </c>
      <c r="AV85" s="179">
        <f>AV59+AV60+AV61+AV62+AV63</f>
        <v>16586371711.185766</v>
      </c>
      <c r="AW85" s="160"/>
      <c r="AX85" s="160" t="s">
        <v>1364</v>
      </c>
      <c r="AY85" s="303"/>
      <c r="AZ85" s="251"/>
    </row>
    <row r="86" spans="18:53" x14ac:dyDescent="0.3">
      <c r="AD86" s="960">
        <f t="shared" si="32"/>
        <v>2028</v>
      </c>
      <c r="AE86" s="691">
        <f t="shared" si="31"/>
        <v>7318884981.5483561</v>
      </c>
      <c r="AF86" s="963">
        <f t="shared" si="28"/>
        <v>2.5000000000000001E-2</v>
      </c>
      <c r="AG86" s="691">
        <f t="shared" si="29"/>
        <v>182972124.53870893</v>
      </c>
      <c r="AQ86" s="88"/>
      <c r="AR86" s="88"/>
      <c r="AS86" s="88"/>
      <c r="AT86" s="88"/>
      <c r="AU86" s="364"/>
      <c r="AV86" s="1075"/>
      <c r="AW86" s="1076"/>
      <c r="AX86" s="1076"/>
      <c r="AY86" s="1077"/>
      <c r="AZ86" s="251"/>
    </row>
    <row r="87" spans="18:53" x14ac:dyDescent="0.3">
      <c r="AD87" s="960">
        <f t="shared" si="32"/>
        <v>2029</v>
      </c>
      <c r="AE87" s="691">
        <f t="shared" si="31"/>
        <v>7501857106.0870647</v>
      </c>
      <c r="AF87" s="963">
        <f t="shared" si="28"/>
        <v>2.5000000000000001E-2</v>
      </c>
      <c r="AG87" s="691">
        <f t="shared" si="29"/>
        <v>187546427.65217662</v>
      </c>
      <c r="AQ87" s="88"/>
      <c r="AR87" s="88"/>
      <c r="AS87" s="88"/>
      <c r="AT87" s="88"/>
      <c r="AU87" s="1007" t="s">
        <v>1336</v>
      </c>
      <c r="AV87" s="1066">
        <f>AA72</f>
        <v>18575536281.660458</v>
      </c>
      <c r="AW87" s="251" t="s">
        <v>1335</v>
      </c>
      <c r="AX87" s="251"/>
      <c r="AY87" s="251"/>
      <c r="AZ87" s="251"/>
    </row>
    <row r="88" spans="18:53" x14ac:dyDescent="0.3">
      <c r="AD88" s="960">
        <f t="shared" si="32"/>
        <v>2030</v>
      </c>
      <c r="AE88" s="691">
        <f t="shared" si="31"/>
        <v>7689403533.7392416</v>
      </c>
      <c r="AF88" s="963">
        <f t="shared" si="28"/>
        <v>2.5000000000000001E-2</v>
      </c>
      <c r="AG88" s="691">
        <f t="shared" si="29"/>
        <v>192235088.34348106</v>
      </c>
      <c r="AQ88" s="88"/>
      <c r="AR88" s="88"/>
      <c r="AS88" s="88"/>
      <c r="AT88" s="88"/>
      <c r="AU88" s="1008" t="s">
        <v>1337</v>
      </c>
      <c r="AV88" s="1009">
        <f>W72</f>
        <v>1989164570.4746923</v>
      </c>
      <c r="AW88" s="898" t="s">
        <v>1338</v>
      </c>
      <c r="AX88" s="898"/>
      <c r="AY88" s="251"/>
      <c r="AZ88" s="251"/>
    </row>
    <row r="89" spans="18:53" x14ac:dyDescent="0.3">
      <c r="AD89" s="960">
        <f t="shared" si="32"/>
        <v>2031</v>
      </c>
      <c r="AE89" s="691">
        <f t="shared" si="31"/>
        <v>7881638622.0827227</v>
      </c>
      <c r="AF89" s="963">
        <f t="shared" si="28"/>
        <v>2.5000000000000001E-2</v>
      </c>
      <c r="AG89" s="691">
        <f t="shared" si="29"/>
        <v>197040965.55206808</v>
      </c>
      <c r="AQ89" s="88"/>
      <c r="AR89" s="88"/>
      <c r="AS89" s="88"/>
      <c r="AT89" s="88"/>
      <c r="AU89" s="106"/>
      <c r="AV89" s="745"/>
      <c r="AW89" s="251"/>
      <c r="AX89" s="251"/>
      <c r="AY89" s="251"/>
      <c r="AZ89" s="251"/>
      <c r="BA89" s="252"/>
    </row>
    <row r="90" spans="18:53" x14ac:dyDescent="0.3">
      <c r="AD90" s="960">
        <f t="shared" si="32"/>
        <v>2032</v>
      </c>
      <c r="AE90" s="691">
        <f t="shared" si="31"/>
        <v>8078679587.6347904</v>
      </c>
      <c r="AF90" s="963">
        <f t="shared" si="28"/>
        <v>2.5000000000000001E-2</v>
      </c>
      <c r="AG90" s="691">
        <f t="shared" si="29"/>
        <v>201966989.69086978</v>
      </c>
      <c r="AQ90" s="88"/>
      <c r="AR90" s="88"/>
      <c r="AS90" s="88"/>
      <c r="AT90" s="88"/>
      <c r="AV90" s="999" t="s">
        <v>1355</v>
      </c>
      <c r="AW90" s="252"/>
      <c r="AX90" s="252"/>
      <c r="AY90" s="252"/>
      <c r="AZ90" s="252"/>
      <c r="BA90" s="252"/>
    </row>
    <row r="91" spans="18:53" x14ac:dyDescent="0.3">
      <c r="AD91" s="960">
        <f t="shared" si="32"/>
        <v>2033</v>
      </c>
      <c r="AE91" s="691">
        <f t="shared" si="31"/>
        <v>8280646577.3256598</v>
      </c>
      <c r="AF91" s="963">
        <f t="shared" si="28"/>
        <v>2.5000000000000001E-2</v>
      </c>
      <c r="AG91" s="691">
        <f t="shared" si="29"/>
        <v>207016164.4331415</v>
      </c>
      <c r="AQ91" s="88"/>
      <c r="AR91" s="88"/>
      <c r="AS91" s="88"/>
      <c r="AT91" s="88"/>
      <c r="AW91" s="252"/>
      <c r="AX91" s="252"/>
      <c r="AY91" s="252"/>
      <c r="AZ91" s="252"/>
      <c r="BA91" s="252"/>
    </row>
    <row r="92" spans="18:53" x14ac:dyDescent="0.3">
      <c r="AD92" s="960">
        <f t="shared" si="32"/>
        <v>2034</v>
      </c>
      <c r="AE92" s="691">
        <f t="shared" si="31"/>
        <v>8487662741.7588015</v>
      </c>
      <c r="AF92" s="963">
        <f t="shared" si="28"/>
        <v>2.5000000000000001E-2</v>
      </c>
      <c r="AG92" s="691">
        <f t="shared" si="29"/>
        <v>212191568.54397005</v>
      </c>
      <c r="AQ92" s="88"/>
      <c r="AR92" s="88"/>
      <c r="AS92" s="88"/>
      <c r="AT92" s="252"/>
      <c r="AW92" s="252"/>
      <c r="AX92" s="252"/>
      <c r="AY92" s="252"/>
      <c r="AZ92" s="252"/>
      <c r="BA92" s="252"/>
    </row>
    <row r="93" spans="18:53" x14ac:dyDescent="0.3">
      <c r="AD93" s="960">
        <f t="shared" si="32"/>
        <v>2035</v>
      </c>
      <c r="AE93" s="691">
        <f t="shared" si="31"/>
        <v>8699854310.3027706</v>
      </c>
      <c r="AF93" s="963">
        <f t="shared" si="28"/>
        <v>2.5000000000000001E-2</v>
      </c>
      <c r="AG93" s="691">
        <f t="shared" si="29"/>
        <v>217496357.75756928</v>
      </c>
      <c r="AW93" s="252"/>
      <c r="AX93" s="252"/>
      <c r="AY93" s="252"/>
      <c r="AZ93" s="252"/>
      <c r="BA93" s="252"/>
    </row>
    <row r="94" spans="18:53" x14ac:dyDescent="0.3">
      <c r="AD94" s="960">
        <f t="shared" si="32"/>
        <v>2036</v>
      </c>
      <c r="AE94" s="691">
        <f t="shared" si="31"/>
        <v>8917350668.060339</v>
      </c>
      <c r="AF94" s="963">
        <f t="shared" si="28"/>
        <v>2.5000000000000001E-2</v>
      </c>
      <c r="AG94" s="691">
        <f t="shared" si="29"/>
        <v>222933766.70150849</v>
      </c>
      <c r="AW94" s="252"/>
      <c r="AX94" s="252"/>
      <c r="AY94" s="252"/>
      <c r="AZ94" s="252"/>
      <c r="BA94" s="252"/>
    </row>
    <row r="95" spans="18:53" x14ac:dyDescent="0.3">
      <c r="AD95" s="960">
        <f t="shared" si="32"/>
        <v>2037</v>
      </c>
      <c r="AE95" s="691">
        <f t="shared" si="31"/>
        <v>9140284434.7618465</v>
      </c>
      <c r="AF95" s="963">
        <f t="shared" si="28"/>
        <v>2.5000000000000001E-2</v>
      </c>
      <c r="AG95" s="691">
        <f t="shared" si="29"/>
        <v>228507110.86904618</v>
      </c>
      <c r="AW95" s="252"/>
      <c r="AX95" s="252"/>
      <c r="AY95" s="252"/>
      <c r="AZ95" s="252"/>
      <c r="BA95" s="252"/>
    </row>
    <row r="96" spans="18:53" x14ac:dyDescent="0.3">
      <c r="AD96" s="960">
        <f t="shared" si="32"/>
        <v>2038</v>
      </c>
      <c r="AE96" s="691">
        <f t="shared" si="31"/>
        <v>9368791545.6308918</v>
      </c>
      <c r="AF96" s="963">
        <f t="shared" si="28"/>
        <v>2.5000000000000001E-2</v>
      </c>
      <c r="AG96" s="691">
        <f t="shared" si="29"/>
        <v>234219788.64077231</v>
      </c>
      <c r="AW96" s="252"/>
      <c r="AX96" s="252"/>
      <c r="AY96" s="252"/>
      <c r="AZ96" s="252"/>
      <c r="BA96" s="252"/>
    </row>
    <row r="97" spans="30:53" x14ac:dyDescent="0.3">
      <c r="AD97" s="960">
        <f t="shared" si="32"/>
        <v>2039</v>
      </c>
      <c r="AE97" s="691">
        <f t="shared" si="31"/>
        <v>9603011334.2716637</v>
      </c>
      <c r="AF97" s="963">
        <f t="shared" si="28"/>
        <v>2.5000000000000001E-2</v>
      </c>
      <c r="AG97" s="691">
        <f t="shared" si="29"/>
        <v>240075283.35679162</v>
      </c>
      <c r="AW97" s="252"/>
      <c r="AX97" s="252"/>
      <c r="AY97" s="252"/>
      <c r="AZ97" s="252"/>
      <c r="BA97" s="252"/>
    </row>
    <row r="98" spans="30:53" x14ac:dyDescent="0.3">
      <c r="AD98" s="960">
        <f t="shared" si="32"/>
        <v>2040</v>
      </c>
      <c r="AE98" s="691">
        <f t="shared" si="31"/>
        <v>9843086617.6284561</v>
      </c>
      <c r="AF98" s="963">
        <f t="shared" si="28"/>
        <v>2.5000000000000001E-2</v>
      </c>
      <c r="AG98" s="691">
        <f t="shared" si="29"/>
        <v>246077165.44071141</v>
      </c>
    </row>
    <row r="99" spans="30:53" x14ac:dyDescent="0.3">
      <c r="AD99" s="960">
        <f t="shared" si="32"/>
        <v>2041</v>
      </c>
      <c r="AE99" s="691">
        <f t="shared" si="31"/>
        <v>10089163783.069168</v>
      </c>
      <c r="AF99" s="963">
        <f t="shared" si="28"/>
        <v>2.5000000000000001E-2</v>
      </c>
      <c r="AG99" s="691">
        <f t="shared" si="29"/>
        <v>252229094.57672921</v>
      </c>
    </row>
    <row r="100" spans="30:53" x14ac:dyDescent="0.3">
      <c r="AD100" s="960">
        <f t="shared" si="32"/>
        <v>2042</v>
      </c>
      <c r="AE100" s="691">
        <f t="shared" si="31"/>
        <v>10341392877.645897</v>
      </c>
      <c r="AF100" s="963">
        <f t="shared" si="28"/>
        <v>2.5000000000000001E-2</v>
      </c>
      <c r="AG100" s="691">
        <f t="shared" si="29"/>
        <v>258534821.94114745</v>
      </c>
    </row>
    <row r="101" spans="30:53" x14ac:dyDescent="0.3">
      <c r="AD101" s="960">
        <f t="shared" si="32"/>
        <v>2043</v>
      </c>
      <c r="AE101" s="691">
        <f t="shared" si="31"/>
        <v>10599927699.587044</v>
      </c>
      <c r="AF101" s="963">
        <f t="shared" si="28"/>
        <v>2.5000000000000001E-2</v>
      </c>
      <c r="AG101" s="691">
        <f t="shared" si="29"/>
        <v>264998192.48967612</v>
      </c>
    </row>
    <row r="102" spans="30:53" x14ac:dyDescent="0.3">
      <c r="AD102" s="960">
        <f t="shared" si="32"/>
        <v>2044</v>
      </c>
      <c r="AE102" s="691">
        <f t="shared" si="31"/>
        <v>10864925892.076719</v>
      </c>
      <c r="AF102" s="963">
        <f t="shared" si="28"/>
        <v>2.5000000000000001E-2</v>
      </c>
      <c r="AG102" s="691">
        <f t="shared" si="29"/>
        <v>271623147.30191797</v>
      </c>
    </row>
    <row r="103" spans="30:53" x14ac:dyDescent="0.3">
      <c r="AD103" s="960">
        <f t="shared" si="32"/>
        <v>2045</v>
      </c>
      <c r="AE103" s="691">
        <f t="shared" si="31"/>
        <v>11136549039.378637</v>
      </c>
      <c r="AF103" s="963">
        <f t="shared" si="28"/>
        <v>2.5000000000000001E-2</v>
      </c>
      <c r="AG103" s="691">
        <f t="shared" si="29"/>
        <v>278413725.98446596</v>
      </c>
    </row>
    <row r="104" spans="30:53" x14ac:dyDescent="0.3">
      <c r="AD104" s="960">
        <f t="shared" si="32"/>
        <v>2046</v>
      </c>
      <c r="AE104" s="691">
        <f t="shared" si="31"/>
        <v>11414962765.363104</v>
      </c>
      <c r="AF104" s="963">
        <f t="shared" si="28"/>
        <v>2.5000000000000001E-2</v>
      </c>
      <c r="AG104" s="691">
        <f t="shared" si="29"/>
        <v>285374069.13407761</v>
      </c>
    </row>
    <row r="105" spans="30:53" x14ac:dyDescent="0.3">
      <c r="AD105" s="960">
        <f t="shared" si="32"/>
        <v>2047</v>
      </c>
      <c r="AE105" s="691">
        <f t="shared" si="31"/>
        <v>11700336834.497181</v>
      </c>
      <c r="AF105" s="963">
        <f t="shared" si="28"/>
        <v>2.5000000000000001E-2</v>
      </c>
      <c r="AG105" s="691">
        <f t="shared" si="29"/>
        <v>292508420.86242956</v>
      </c>
    </row>
    <row r="106" spans="30:53"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CCAC2-F759-46AA-873D-D2E88C408BEF}">
  <dimension ref="A2:CG106"/>
  <sheetViews>
    <sheetView showGridLines="0" topLeftCell="AS61" workbookViewId="0">
      <selection activeCell="AY39" sqref="AV39:AY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9" width="20.21875" style="1" customWidth="1"/>
    <col min="40" max="40" width="8.88671875" style="1"/>
    <col min="41" max="41" width="21.33203125" style="1" bestFit="1" customWidth="1"/>
    <col min="42" max="42" width="8.88671875" style="1"/>
    <col min="43" max="43" width="19.109375" style="1" bestFit="1" customWidth="1"/>
    <col min="44" max="44" width="8.88671875" style="1"/>
    <col min="45" max="45" width="23.6640625" style="1" customWidth="1"/>
    <col min="46" max="46" width="9.44140625" style="1" bestFit="1" customWidth="1"/>
    <col min="47" max="47" width="36.44140625" style="1" customWidth="1"/>
    <col min="48" max="48" width="28" style="1" bestFit="1" customWidth="1"/>
    <col min="49" max="49" width="11.109375" style="1" bestFit="1" customWidth="1"/>
    <col min="50" max="50" width="22.109375" style="1" customWidth="1"/>
    <col min="51" max="51" width="35.6640625" style="1" customWidth="1"/>
    <col min="52" max="52" width="39.109375" style="1" bestFit="1" customWidth="1"/>
    <col min="53" max="53" width="20.5546875" style="1" bestFit="1" customWidth="1"/>
    <col min="54" max="54" width="24.21875" style="1" bestFit="1" customWidth="1"/>
    <col min="55" max="55" width="8.88671875" style="1"/>
    <col min="56" max="56" width="21.44140625" style="1" bestFit="1" customWidth="1"/>
    <col min="57" max="57" width="8.88671875" style="1"/>
    <col min="58" max="58" width="9.33203125" style="1" customWidth="1"/>
    <col min="59" max="60" width="8.88671875" style="1"/>
    <col min="61" max="61" width="8.88671875" style="1" customWidth="1"/>
    <col min="62" max="62" width="19.6640625" style="1" customWidth="1"/>
    <col min="63" max="63" width="11.109375" style="1" bestFit="1" customWidth="1"/>
    <col min="64" max="64" width="29.5546875" style="1" bestFit="1" customWidth="1"/>
    <col min="65" max="65" width="8.88671875" style="1"/>
    <col min="66" max="66" width="23.109375" style="1" bestFit="1" customWidth="1"/>
    <col min="67" max="67" width="16.88671875" style="12" customWidth="1"/>
    <col min="68" max="68" width="22.44140625" style="1" bestFit="1" customWidth="1"/>
    <col min="69" max="69" width="7.109375" style="1" customWidth="1"/>
    <col min="70" max="70" width="20.21875" style="1" customWidth="1"/>
    <col min="71" max="71" width="9.109375" style="12" customWidth="1"/>
    <col min="72" max="72" width="19.109375" style="1" bestFit="1" customWidth="1"/>
    <col min="73" max="74" width="8.88671875" style="1"/>
    <col min="75" max="75" width="20.6640625" style="1" customWidth="1"/>
    <col min="76" max="76" width="3.6640625" style="1" customWidth="1"/>
    <col min="77" max="78" width="21.88671875" style="1" customWidth="1"/>
    <col min="79" max="79" width="8" style="1" customWidth="1"/>
    <col min="80" max="80" width="21.44140625" style="1" customWidth="1"/>
    <col min="81" max="81" width="19.109375" style="1" bestFit="1" customWidth="1"/>
    <col min="82" max="82" width="25.33203125" style="690" customWidth="1"/>
    <col min="83" max="83" width="8.88671875" style="12"/>
    <col min="84" max="84" width="8.88671875" style="1"/>
    <col min="85" max="85" width="17.44140625" style="1" bestFit="1" customWidth="1"/>
    <col min="86" max="16384" width="8.88671875" style="1"/>
  </cols>
  <sheetData>
    <row r="2" spans="1:83"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O2" s="916"/>
      <c r="BS2" s="916"/>
      <c r="CD2" s="917"/>
      <c r="CE2" s="916"/>
    </row>
    <row r="3" spans="1:83" ht="25.95" customHeight="1" x14ac:dyDescent="0.5">
      <c r="C3" s="570" t="s">
        <v>1446</v>
      </c>
      <c r="F3" s="1081"/>
      <c r="G3" s="648"/>
      <c r="AV3" s="999" t="s">
        <v>1355</v>
      </c>
    </row>
    <row r="4" spans="1:83"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row>
    <row r="5" spans="1:83" ht="18.600000000000001" x14ac:dyDescent="0.45">
      <c r="C5" s="37" t="s">
        <v>972</v>
      </c>
      <c r="D5" s="619"/>
      <c r="E5" s="408">
        <f>E11</f>
        <v>6056490566.924016</v>
      </c>
      <c r="F5" s="1082">
        <v>1</v>
      </c>
      <c r="G5" s="408">
        <f>E5*F5</f>
        <v>6056490566.924016</v>
      </c>
      <c r="H5" s="409">
        <v>0.93</v>
      </c>
      <c r="I5" s="408">
        <f>G5*H5</f>
        <v>5632536227.2393351</v>
      </c>
      <c r="J5" s="409">
        <v>1</v>
      </c>
      <c r="K5" s="408">
        <f>I5*J5</f>
        <v>5632536227.2393351</v>
      </c>
      <c r="L5" s="409">
        <f>H5</f>
        <v>0.93</v>
      </c>
      <c r="M5" s="408">
        <f>K5*L5</f>
        <v>5238258691.3325815</v>
      </c>
      <c r="N5" s="409">
        <f>J5</f>
        <v>1</v>
      </c>
      <c r="O5" s="408">
        <f>M5*N5</f>
        <v>5238258691.3325815</v>
      </c>
      <c r="P5" s="409">
        <f>L5</f>
        <v>0.93</v>
      </c>
      <c r="Q5" s="408">
        <f>O5*P5</f>
        <v>4871580582.9393015</v>
      </c>
      <c r="R5" s="409">
        <f>N5</f>
        <v>1</v>
      </c>
      <c r="S5" s="408">
        <f>Q5*R5</f>
        <v>4871580582.9393015</v>
      </c>
      <c r="T5" s="409">
        <f>P5</f>
        <v>0.93</v>
      </c>
      <c r="U5" s="408">
        <f>S5*T5</f>
        <v>4530569942.1335506</v>
      </c>
      <c r="V5" s="409">
        <f>R5</f>
        <v>1</v>
      </c>
      <c r="W5" s="408">
        <f>U5*V5</f>
        <v>4530569942.1335506</v>
      </c>
      <c r="X5" s="409">
        <f>T5</f>
        <v>0.93</v>
      </c>
      <c r="Y5" s="408">
        <f>W5*X5</f>
        <v>4213430046.1842022</v>
      </c>
      <c r="Z5" s="409">
        <f>V5</f>
        <v>1</v>
      </c>
      <c r="AA5" s="408">
        <f>Y5*Z5</f>
        <v>4213430046.1842022</v>
      </c>
      <c r="AB5" s="409">
        <f>X5</f>
        <v>0.93</v>
      </c>
      <c r="AC5" s="408">
        <f>AA5*AB5</f>
        <v>3918489942.9513083</v>
      </c>
      <c r="AD5" s="409">
        <f>Z5</f>
        <v>1</v>
      </c>
      <c r="AE5" s="408">
        <f>AC5*AD5</f>
        <v>3918489942.9513083</v>
      </c>
      <c r="AF5" s="409">
        <f>AB5</f>
        <v>0.93</v>
      </c>
      <c r="AG5" s="408">
        <f>AE5*AF5</f>
        <v>3644195646.9447169</v>
      </c>
      <c r="AH5" s="409">
        <f>AD5</f>
        <v>1</v>
      </c>
      <c r="AI5" s="408">
        <f>AG5*AH5</f>
        <v>3644195646.9447169</v>
      </c>
      <c r="AJ5" s="409">
        <f>AF5</f>
        <v>0.93</v>
      </c>
      <c r="AK5" s="408">
        <f>AI5*AJ5</f>
        <v>3389101951.658587</v>
      </c>
      <c r="AL5" s="409">
        <f>AH5</f>
        <v>1</v>
      </c>
      <c r="AM5" s="408">
        <f>AK5*AL5</f>
        <v>3389101951.658587</v>
      </c>
      <c r="AN5" s="409">
        <f>AB5</f>
        <v>0.93</v>
      </c>
      <c r="AO5" s="408">
        <f>AM5*AN5</f>
        <v>3151864815.0424862</v>
      </c>
      <c r="AP5" s="409">
        <f>AD5</f>
        <v>1</v>
      </c>
      <c r="AQ5" s="408">
        <f>AO5*AP5</f>
        <v>3151864815.0424862</v>
      </c>
      <c r="AR5" s="409">
        <f>AN5</f>
        <v>0.93</v>
      </c>
      <c r="AS5" s="408">
        <f>AQ5*AR5</f>
        <v>2931234277.9895124</v>
      </c>
      <c r="AT5" s="409">
        <f>AP5</f>
        <v>1</v>
      </c>
      <c r="AU5" s="408">
        <f>AS5*AT5</f>
        <v>2931234277.9895124</v>
      </c>
      <c r="AV5" s="719">
        <f>G5+I5+M5+Q5+U5+Y5+AC5+AG5+AK5+AO5+AS5</f>
        <v>47577752691.3396</v>
      </c>
      <c r="AX5" s="621">
        <f>AR5</f>
        <v>0.93</v>
      </c>
      <c r="AY5" s="622">
        <f>AU5*AX5</f>
        <v>2726047878.5302467</v>
      </c>
      <c r="AZ5" s="626"/>
      <c r="BA5" s="626"/>
      <c r="BB5" s="627"/>
    </row>
    <row r="6" spans="1:83" x14ac:dyDescent="0.3">
      <c r="F6" s="1081"/>
      <c r="AV6" s="93"/>
      <c r="BB6" s="628"/>
    </row>
    <row r="7" spans="1:83"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462" t="s">
        <v>749</v>
      </c>
      <c r="AO7" s="170" t="s">
        <v>1456</v>
      </c>
      <c r="AP7" s="175" t="s">
        <v>297</v>
      </c>
      <c r="AQ7" s="170" t="s">
        <v>59</v>
      </c>
      <c r="AR7" s="301" t="s">
        <v>749</v>
      </c>
      <c r="AS7" s="121" t="s">
        <v>1458</v>
      </c>
      <c r="AT7" s="173" t="s">
        <v>297</v>
      </c>
      <c r="AU7" s="121" t="s">
        <v>59</v>
      </c>
      <c r="AV7" s="121" t="s">
        <v>1457</v>
      </c>
      <c r="AX7" s="588" t="s">
        <v>1367</v>
      </c>
      <c r="AY7" s="121" t="s">
        <v>1372</v>
      </c>
      <c r="BB7" s="628"/>
    </row>
    <row r="8" spans="1:83" x14ac:dyDescent="0.3">
      <c r="B8" s="584"/>
      <c r="C8" s="7"/>
      <c r="E8" s="875">
        <f>AV47</f>
        <v>12112981133.848032</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586" t="s">
        <v>1371</v>
      </c>
      <c r="AO8" s="470"/>
      <c r="AP8" s="471"/>
      <c r="AQ8" s="470"/>
      <c r="AR8" s="587" t="s">
        <v>1371</v>
      </c>
      <c r="AS8" s="303"/>
      <c r="AT8" s="179"/>
      <c r="AU8" s="303"/>
      <c r="AV8" s="126"/>
      <c r="AX8" s="589" t="s">
        <v>1371</v>
      </c>
      <c r="AY8" s="303"/>
      <c r="BB8" s="628"/>
    </row>
    <row r="9" spans="1:83"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122"/>
      <c r="AS9" s="459" t="s">
        <v>282</v>
      </c>
      <c r="AT9" s="122"/>
      <c r="AU9" s="8"/>
      <c r="AV9" s="126"/>
      <c r="AX9" s="122"/>
      <c r="AY9" s="459" t="s">
        <v>282</v>
      </c>
      <c r="BB9" s="628"/>
    </row>
    <row r="10" spans="1:83" ht="16.2" thickBot="1" x14ac:dyDescent="0.35">
      <c r="B10" s="585"/>
      <c r="C10" s="1211"/>
      <c r="D10" s="630" t="s">
        <v>953</v>
      </c>
      <c r="E10" s="994">
        <f>AW53</f>
        <v>512</v>
      </c>
      <c r="F10" s="1085">
        <v>0.25</v>
      </c>
      <c r="G10" s="130">
        <f>E14*F10</f>
        <v>168299876.51055408</v>
      </c>
      <c r="H10" s="460">
        <v>0.5</v>
      </c>
      <c r="I10" s="130">
        <f>G10*H10</f>
        <v>84149938.255277038</v>
      </c>
      <c r="J10" s="460">
        <v>1</v>
      </c>
      <c r="K10" s="458">
        <f>I10*J10</f>
        <v>84149938.255277038</v>
      </c>
      <c r="L10" s="129">
        <f>H10</f>
        <v>0.5</v>
      </c>
      <c r="M10" s="458">
        <f>K10*L10</f>
        <v>42074969.127638519</v>
      </c>
      <c r="N10" s="129">
        <f>J10</f>
        <v>1</v>
      </c>
      <c r="O10" s="458">
        <f>M10*N10</f>
        <v>42074969.127638519</v>
      </c>
      <c r="P10" s="129">
        <f>L10</f>
        <v>0.5</v>
      </c>
      <c r="Q10" s="458">
        <f>O10*P10</f>
        <v>21037484.563819259</v>
      </c>
      <c r="R10" s="129">
        <f>N10</f>
        <v>1</v>
      </c>
      <c r="S10" s="458">
        <f>Q10*R10</f>
        <v>21037484.563819259</v>
      </c>
      <c r="T10" s="129">
        <f>P10</f>
        <v>0.5</v>
      </c>
      <c r="U10" s="458">
        <f>S10*T10</f>
        <v>10518742.28190963</v>
      </c>
      <c r="V10" s="129">
        <f>R10</f>
        <v>1</v>
      </c>
      <c r="W10" s="458">
        <f>U10*V10</f>
        <v>10518742.28190963</v>
      </c>
      <c r="X10" s="129">
        <f>T10</f>
        <v>0.5</v>
      </c>
      <c r="Y10" s="458">
        <f>W10*X10</f>
        <v>5259371.1409548149</v>
      </c>
      <c r="Z10" s="129">
        <f>V10</f>
        <v>1</v>
      </c>
      <c r="AA10" s="458">
        <f>Y10*Z10</f>
        <v>5259371.1409548149</v>
      </c>
      <c r="AB10" s="129">
        <f>X10</f>
        <v>0.5</v>
      </c>
      <c r="AC10" s="458">
        <f>AA10*AB10</f>
        <v>2629685.5704774074</v>
      </c>
      <c r="AD10" s="129">
        <f>Z10</f>
        <v>1</v>
      </c>
      <c r="AE10" s="458">
        <f>AC10*AD10</f>
        <v>2629685.5704774074</v>
      </c>
      <c r="AF10" s="129">
        <f>AB10</f>
        <v>0.5</v>
      </c>
      <c r="AG10" s="458">
        <f>AE10*AF10</f>
        <v>1314842.7852387037</v>
      </c>
      <c r="AH10" s="129">
        <f>AD10</f>
        <v>1</v>
      </c>
      <c r="AI10" s="458">
        <f>AG10*AH10</f>
        <v>1314842.7852387037</v>
      </c>
      <c r="AJ10" s="129">
        <f>AF10</f>
        <v>0.5</v>
      </c>
      <c r="AK10" s="458">
        <f>AI10*AJ10</f>
        <v>657421.39261935186</v>
      </c>
      <c r="AL10" s="129">
        <f>AH10</f>
        <v>1</v>
      </c>
      <c r="AM10" s="458">
        <f>AK10*AL10</f>
        <v>657421.39261935186</v>
      </c>
      <c r="AN10" s="129">
        <f>AB10</f>
        <v>0.5</v>
      </c>
      <c r="AO10" s="458">
        <f>AM10*AN10</f>
        <v>328710.69630967593</v>
      </c>
      <c r="AP10" s="129">
        <f>AD10</f>
        <v>1</v>
      </c>
      <c r="AQ10" s="458">
        <f>AO10*AP10</f>
        <v>328710.69630967593</v>
      </c>
      <c r="AR10" s="129">
        <f>AN10</f>
        <v>0.5</v>
      </c>
      <c r="AS10" s="458">
        <f>AQ10*AR10</f>
        <v>164355.34815483796</v>
      </c>
      <c r="AT10" s="129">
        <f>AP10</f>
        <v>1</v>
      </c>
      <c r="AU10" s="458">
        <f>AS10*AT10</f>
        <v>164355.34815483796</v>
      </c>
      <c r="AV10" s="719">
        <f>G10+I10+M10+Q10+U10+Y10+AC10+AG10+AK10+AO10+AS10</f>
        <v>336435397.67295331</v>
      </c>
      <c r="AX10" s="590">
        <f>AR10</f>
        <v>0.5</v>
      </c>
      <c r="AY10" s="458">
        <f>AU10*AX10</f>
        <v>82177.674077418982</v>
      </c>
      <c r="AZ10" s="623"/>
      <c r="BA10" s="624"/>
      <c r="BB10" s="628"/>
    </row>
    <row r="11" spans="1:83" ht="16.2" thickBot="1" x14ac:dyDescent="0.35">
      <c r="B11" s="585"/>
      <c r="C11" s="1078"/>
      <c r="D11" s="630" t="s">
        <v>1291</v>
      </c>
      <c r="E11" s="631">
        <f>E8/2</f>
        <v>6056490566.924016</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122"/>
      <c r="AS11" s="457" t="s">
        <v>283</v>
      </c>
      <c r="AT11" s="122"/>
      <c r="AU11" s="8"/>
      <c r="AV11" s="126"/>
      <c r="AX11" s="122"/>
      <c r="AY11" s="457" t="s">
        <v>283</v>
      </c>
      <c r="AZ11" s="623"/>
      <c r="BA11" s="623"/>
      <c r="BB11" s="628"/>
    </row>
    <row r="12" spans="1:83" ht="16.2" thickBot="1" x14ac:dyDescent="0.35">
      <c r="B12" s="584"/>
      <c r="E12" s="997">
        <f>E9*E10</f>
        <v>0</v>
      </c>
      <c r="F12" s="1086">
        <v>0.25</v>
      </c>
      <c r="G12" s="135">
        <f>E14*F12</f>
        <v>168299876.51055408</v>
      </c>
      <c r="H12" s="461">
        <v>0.93</v>
      </c>
      <c r="I12" s="135">
        <f>G12*H12</f>
        <v>156518885.15481529</v>
      </c>
      <c r="J12" s="461">
        <v>1</v>
      </c>
      <c r="K12" s="440">
        <f>I12*J12</f>
        <v>156518885.15481529</v>
      </c>
      <c r="L12" s="133">
        <f>H12</f>
        <v>0.93</v>
      </c>
      <c r="M12" s="440">
        <f>K12*L12</f>
        <v>145562563.19397822</v>
      </c>
      <c r="N12" s="133">
        <f>J12</f>
        <v>1</v>
      </c>
      <c r="O12" s="440">
        <f>M12*N12</f>
        <v>145562563.19397822</v>
      </c>
      <c r="P12" s="133">
        <f>L12</f>
        <v>0.93</v>
      </c>
      <c r="Q12" s="440">
        <f>O12*P12</f>
        <v>135373183.77039975</v>
      </c>
      <c r="R12" s="133">
        <f>N12</f>
        <v>1</v>
      </c>
      <c r="S12" s="440">
        <f>Q12*R12</f>
        <v>135373183.77039975</v>
      </c>
      <c r="T12" s="133">
        <f>P12</f>
        <v>0.93</v>
      </c>
      <c r="U12" s="440">
        <f>S12*T12</f>
        <v>125897060.90647177</v>
      </c>
      <c r="V12" s="133">
        <f>R12</f>
        <v>1</v>
      </c>
      <c r="W12" s="440">
        <f>U12*V12</f>
        <v>125897060.90647177</v>
      </c>
      <c r="X12" s="133">
        <f>T12</f>
        <v>0.93</v>
      </c>
      <c r="Y12" s="440">
        <f>W12*X12</f>
        <v>117084266.64301875</v>
      </c>
      <c r="Z12" s="133">
        <f>V12</f>
        <v>1</v>
      </c>
      <c r="AA12" s="440">
        <f>Y12*Z12</f>
        <v>117084266.64301875</v>
      </c>
      <c r="AB12" s="133">
        <f>X12</f>
        <v>0.93</v>
      </c>
      <c r="AC12" s="440">
        <f>AA12*AB12</f>
        <v>108888367.97800745</v>
      </c>
      <c r="AD12" s="133">
        <f>Z12</f>
        <v>1</v>
      </c>
      <c r="AE12" s="440">
        <f>AC12*AD12</f>
        <v>108888367.97800745</v>
      </c>
      <c r="AF12" s="133">
        <f>AB12</f>
        <v>0.93</v>
      </c>
      <c r="AG12" s="440">
        <f>AE12*AF12</f>
        <v>101266182.21954693</v>
      </c>
      <c r="AH12" s="133">
        <f>AD12</f>
        <v>1</v>
      </c>
      <c r="AI12" s="440">
        <f>AG12*AH12</f>
        <v>101266182.21954693</v>
      </c>
      <c r="AJ12" s="133">
        <f>AF12</f>
        <v>0.93</v>
      </c>
      <c r="AK12" s="440">
        <f>AI12*AJ12</f>
        <v>94177549.464178652</v>
      </c>
      <c r="AL12" s="133">
        <f>AH12</f>
        <v>1</v>
      </c>
      <c r="AM12" s="440">
        <f>AK12*AL12</f>
        <v>94177549.464178652</v>
      </c>
      <c r="AN12" s="133">
        <f>AB12</f>
        <v>0.93</v>
      </c>
      <c r="AO12" s="440">
        <f>AM12*AN12</f>
        <v>87585121.001686156</v>
      </c>
      <c r="AP12" s="133">
        <f>AD12</f>
        <v>1</v>
      </c>
      <c r="AQ12" s="440">
        <f>AO12*AP12</f>
        <v>87585121.001686156</v>
      </c>
      <c r="AR12" s="133">
        <f>AN12</f>
        <v>0.93</v>
      </c>
      <c r="AS12" s="440">
        <f>AQ12*AR12</f>
        <v>81454162.531568125</v>
      </c>
      <c r="AT12" s="133">
        <f>AP12</f>
        <v>1</v>
      </c>
      <c r="AU12" s="440">
        <f>AS12*AT12</f>
        <v>81454162.531568125</v>
      </c>
      <c r="AV12" s="719">
        <f>G12+I12+M12+Q12+U12+Y12+AC12+AG12+AK12+AO12+AS12</f>
        <v>1322107219.3742249</v>
      </c>
      <c r="AX12" s="591">
        <f>AR12</f>
        <v>0.93</v>
      </c>
      <c r="AY12" s="440">
        <f>AU12*AX12</f>
        <v>75752371.154358357</v>
      </c>
      <c r="AZ12" s="623"/>
      <c r="BA12" s="624"/>
      <c r="BB12" s="628"/>
    </row>
    <row r="13" spans="1:83"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122"/>
      <c r="AS13" s="451" t="s">
        <v>284</v>
      </c>
      <c r="AT13" s="122"/>
      <c r="AU13" s="8"/>
      <c r="AV13" s="126"/>
      <c r="AX13" s="122"/>
      <c r="AY13" s="451" t="s">
        <v>284</v>
      </c>
      <c r="AZ13" s="623"/>
      <c r="BA13" s="623"/>
      <c r="BB13" s="628"/>
    </row>
    <row r="14" spans="1:83" ht="16.2" thickBot="1" x14ac:dyDescent="0.35">
      <c r="A14" s="162"/>
      <c r="B14" s="162"/>
      <c r="C14" s="137" t="s">
        <v>291</v>
      </c>
      <c r="D14" s="1212">
        <v>0.111153397929607</v>
      </c>
      <c r="E14" s="139">
        <f>E11*D14</f>
        <v>673199506.0422163</v>
      </c>
      <c r="F14" s="1088">
        <v>0.5</v>
      </c>
      <c r="G14" s="139">
        <f>E14*F14</f>
        <v>336599753.02110815</v>
      </c>
      <c r="H14" s="463">
        <v>0.93</v>
      </c>
      <c r="I14" s="139">
        <f>G14*H14</f>
        <v>313037770.30963057</v>
      </c>
      <c r="J14" s="463">
        <v>1</v>
      </c>
      <c r="K14" s="441">
        <f>I14*J14</f>
        <v>313037770.30963057</v>
      </c>
      <c r="L14" s="140">
        <f>H14</f>
        <v>0.93</v>
      </c>
      <c r="M14" s="441">
        <f>K14*L14</f>
        <v>291125126.38795644</v>
      </c>
      <c r="N14" s="140">
        <f>J14</f>
        <v>1</v>
      </c>
      <c r="O14" s="441">
        <f>M14*N14</f>
        <v>291125126.38795644</v>
      </c>
      <c r="P14" s="140">
        <f>L14</f>
        <v>0.93</v>
      </c>
      <c r="Q14" s="441">
        <f>O14*P14</f>
        <v>270746367.5407995</v>
      </c>
      <c r="R14" s="140">
        <f>N14</f>
        <v>1</v>
      </c>
      <c r="S14" s="441">
        <f>Q14*R14</f>
        <v>270746367.5407995</v>
      </c>
      <c r="T14" s="140">
        <f>P14</f>
        <v>0.93</v>
      </c>
      <c r="U14" s="441">
        <f>S14*T14</f>
        <v>251794121.81294355</v>
      </c>
      <c r="V14" s="140">
        <f>R14</f>
        <v>1</v>
      </c>
      <c r="W14" s="441">
        <f>U14*V14</f>
        <v>251794121.81294355</v>
      </c>
      <c r="X14" s="140">
        <f>T14</f>
        <v>0.93</v>
      </c>
      <c r="Y14" s="441">
        <f>W14*X14</f>
        <v>234168533.2860375</v>
      </c>
      <c r="Z14" s="140">
        <f>V14</f>
        <v>1</v>
      </c>
      <c r="AA14" s="441">
        <f>Y14*Z14</f>
        <v>234168533.2860375</v>
      </c>
      <c r="AB14" s="140">
        <f>X14</f>
        <v>0.93</v>
      </c>
      <c r="AC14" s="441">
        <f>AA14*AB14</f>
        <v>217776735.9560149</v>
      </c>
      <c r="AD14" s="140">
        <f>Z14</f>
        <v>1</v>
      </c>
      <c r="AE14" s="441">
        <f>AC14*AD14</f>
        <v>217776735.9560149</v>
      </c>
      <c r="AF14" s="140">
        <f>AB14</f>
        <v>0.93</v>
      </c>
      <c r="AG14" s="441">
        <f>AE14*AF14</f>
        <v>202532364.43909386</v>
      </c>
      <c r="AH14" s="140">
        <f>AD14</f>
        <v>1</v>
      </c>
      <c r="AI14" s="441">
        <f>AG14*AH14</f>
        <v>202532364.43909386</v>
      </c>
      <c r="AJ14" s="140">
        <f>AF14</f>
        <v>0.93</v>
      </c>
      <c r="AK14" s="441">
        <f>AI14*AJ14</f>
        <v>188355098.9283573</v>
      </c>
      <c r="AL14" s="140">
        <f>AH14</f>
        <v>1</v>
      </c>
      <c r="AM14" s="441">
        <f>AK14*AL14</f>
        <v>188355098.9283573</v>
      </c>
      <c r="AN14" s="140">
        <f>AB14</f>
        <v>0.93</v>
      </c>
      <c r="AO14" s="441">
        <f>AM14*AN14</f>
        <v>175170242.00337231</v>
      </c>
      <c r="AP14" s="140">
        <f>AD14</f>
        <v>1</v>
      </c>
      <c r="AQ14" s="441">
        <f>AO14*AP14</f>
        <v>175170242.00337231</v>
      </c>
      <c r="AR14" s="140">
        <f>AN14</f>
        <v>0.93</v>
      </c>
      <c r="AS14" s="441">
        <f>AQ14*AR14</f>
        <v>162908325.06313625</v>
      </c>
      <c r="AT14" s="140">
        <f>AP14</f>
        <v>1</v>
      </c>
      <c r="AU14" s="441">
        <f>AS14*AT14</f>
        <v>162908325.06313625</v>
      </c>
      <c r="AV14" s="719">
        <f>G14+I14+M14+Q14+U14+Y14+AC14+AG14+AK14+AO14+AS14</f>
        <v>2644214438.7484498</v>
      </c>
      <c r="AX14" s="592">
        <f>AR14</f>
        <v>0.93</v>
      </c>
      <c r="AY14" s="441">
        <f>AU14*AX14</f>
        <v>151504742.30871671</v>
      </c>
      <c r="AZ14" s="623"/>
      <c r="BA14" s="624"/>
      <c r="BB14" s="628"/>
    </row>
    <row r="15" spans="1:83"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122"/>
      <c r="AS15" s="8"/>
      <c r="AT15" s="122"/>
      <c r="AU15" s="8"/>
      <c r="AV15" s="126"/>
      <c r="AX15" s="122"/>
      <c r="AY15" s="8"/>
      <c r="AZ15" s="623"/>
      <c r="BA15" s="623"/>
      <c r="BB15" s="628"/>
    </row>
    <row r="16" spans="1:83"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455"/>
      <c r="AS16" s="454" t="s">
        <v>744</v>
      </c>
      <c r="AT16" s="141"/>
      <c r="AU16" s="164"/>
      <c r="AV16" s="126"/>
      <c r="AX16" s="455"/>
      <c r="AY16" s="454" t="s">
        <v>744</v>
      </c>
      <c r="AZ16" s="625"/>
      <c r="BA16" s="625"/>
      <c r="BB16" s="628"/>
      <c r="BO16" s="233"/>
      <c r="BS16" s="233"/>
      <c r="CD16" s="345"/>
      <c r="CE16" s="233"/>
    </row>
    <row r="17" spans="1:85" ht="16.2" thickBot="1" x14ac:dyDescent="0.35">
      <c r="A17" s="18"/>
      <c r="B17" s="18"/>
      <c r="C17" s="397" t="s">
        <v>276</v>
      </c>
      <c r="D17" s="1213">
        <f>100%-D14-D21</f>
        <v>0.5625</v>
      </c>
      <c r="E17" s="399">
        <f>E11*D17</f>
        <v>3406775943.8947592</v>
      </c>
      <c r="F17" s="1090">
        <v>1</v>
      </c>
      <c r="G17" s="399">
        <f>E17*F17</f>
        <v>3406775943.8947592</v>
      </c>
      <c r="H17" s="464">
        <v>0.93</v>
      </c>
      <c r="I17" s="399">
        <f>G17*H17</f>
        <v>3168301627.8221264</v>
      </c>
      <c r="J17" s="464">
        <v>1</v>
      </c>
      <c r="K17" s="453">
        <f>I17*J17</f>
        <v>3168301627.8221264</v>
      </c>
      <c r="L17" s="400">
        <f>H17</f>
        <v>0.93</v>
      </c>
      <c r="M17" s="453">
        <f>K17*L17</f>
        <v>2946520513.8745775</v>
      </c>
      <c r="N17" s="400">
        <f>J17</f>
        <v>1</v>
      </c>
      <c r="O17" s="453">
        <f>M17*N17</f>
        <v>2946520513.8745775</v>
      </c>
      <c r="P17" s="400">
        <f>L17</f>
        <v>0.93</v>
      </c>
      <c r="Q17" s="453">
        <f>O17*P17</f>
        <v>2740264077.903357</v>
      </c>
      <c r="R17" s="400">
        <f>N17</f>
        <v>1</v>
      </c>
      <c r="S17" s="453">
        <f>Q17*R17</f>
        <v>2740264077.903357</v>
      </c>
      <c r="T17" s="400">
        <f>P17</f>
        <v>0.93</v>
      </c>
      <c r="U17" s="453">
        <f>S17*T17</f>
        <v>2548445592.4501224</v>
      </c>
      <c r="V17" s="400">
        <f>R17</f>
        <v>1</v>
      </c>
      <c r="W17" s="453">
        <f>U17*V17</f>
        <v>2548445592.4501224</v>
      </c>
      <c r="X17" s="400">
        <f>T17</f>
        <v>0.93</v>
      </c>
      <c r="Y17" s="453">
        <f>W17*X17</f>
        <v>2370054400.9786139</v>
      </c>
      <c r="Z17" s="400">
        <f>V17</f>
        <v>1</v>
      </c>
      <c r="AA17" s="453">
        <f>Y17*Z17</f>
        <v>2370054400.9786139</v>
      </c>
      <c r="AB17" s="400">
        <f>X17</f>
        <v>0.93</v>
      </c>
      <c r="AC17" s="453">
        <f>AA17*AB17</f>
        <v>2204150592.910111</v>
      </c>
      <c r="AD17" s="400">
        <f>Z17</f>
        <v>1</v>
      </c>
      <c r="AE17" s="453">
        <f>AC17*AD17</f>
        <v>2204150592.910111</v>
      </c>
      <c r="AF17" s="400">
        <f>AB17</f>
        <v>0.93</v>
      </c>
      <c r="AG17" s="453">
        <f>AE17*AF17</f>
        <v>2049860051.4064033</v>
      </c>
      <c r="AH17" s="400">
        <f>AD17</f>
        <v>1</v>
      </c>
      <c r="AI17" s="453">
        <f>AG17*AH17</f>
        <v>2049860051.4064033</v>
      </c>
      <c r="AJ17" s="400">
        <f>AF17</f>
        <v>0.93</v>
      </c>
      <c r="AK17" s="453">
        <f>AI17*AJ17</f>
        <v>1906369847.8079553</v>
      </c>
      <c r="AL17" s="400">
        <f>AH17</f>
        <v>1</v>
      </c>
      <c r="AM17" s="453">
        <f>AK17*AL17</f>
        <v>1906369847.8079553</v>
      </c>
      <c r="AN17" s="400">
        <f>AB17</f>
        <v>0.93</v>
      </c>
      <c r="AO17" s="453">
        <f>AM17*AN17</f>
        <v>1772923958.4613986</v>
      </c>
      <c r="AP17" s="400">
        <f>AD17</f>
        <v>1</v>
      </c>
      <c r="AQ17" s="453">
        <f>AO17*AP17</f>
        <v>1772923958.4613986</v>
      </c>
      <c r="AR17" s="400">
        <f>AN17</f>
        <v>0.93</v>
      </c>
      <c r="AS17" s="453">
        <f>AQ17*AR17</f>
        <v>1648819281.3691008</v>
      </c>
      <c r="AT17" s="400">
        <f>AP17</f>
        <v>1</v>
      </c>
      <c r="AU17" s="453">
        <f>AS17*AT17</f>
        <v>1648819281.3691008</v>
      </c>
      <c r="AV17" s="719">
        <f>G17+I17+M17+Q17+U17+Y17+AC17+AG17+AK17+AO17+AS17</f>
        <v>26762485888.878529</v>
      </c>
      <c r="AX17" s="593">
        <f>AR17</f>
        <v>0.93</v>
      </c>
      <c r="AY17" s="453">
        <f>AU17*AX17</f>
        <v>1533401931.6732638</v>
      </c>
      <c r="AZ17" s="623"/>
      <c r="BA17" s="624"/>
      <c r="BB17" s="628"/>
      <c r="BR17" s="974" t="s">
        <v>872</v>
      </c>
      <c r="BT17" s="974" t="s">
        <v>872</v>
      </c>
      <c r="BW17" s="974" t="s">
        <v>872</v>
      </c>
    </row>
    <row r="18" spans="1:85"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122"/>
      <c r="AS18" s="8"/>
      <c r="AT18" s="122"/>
      <c r="AU18" s="8"/>
      <c r="AV18" s="126"/>
      <c r="AX18" s="122"/>
      <c r="AY18" s="8"/>
      <c r="AZ18" s="623"/>
      <c r="BA18" s="623"/>
      <c r="BB18" s="628"/>
      <c r="BR18" s="974" t="s">
        <v>5</v>
      </c>
      <c r="BT18" s="974" t="s">
        <v>7</v>
      </c>
      <c r="BW18" s="77" t="s">
        <v>968</v>
      </c>
    </row>
    <row r="19" spans="1:85"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122"/>
      <c r="AS19" s="8"/>
      <c r="AT19" s="122"/>
      <c r="AU19" s="8"/>
      <c r="AV19" s="126"/>
      <c r="AX19" s="122"/>
      <c r="AY19" s="8"/>
      <c r="AZ19" s="623"/>
      <c r="BA19" s="623"/>
      <c r="BB19" s="628"/>
      <c r="BE19" s="473"/>
      <c r="BF19" s="473"/>
      <c r="BG19" s="473"/>
      <c r="BH19" s="473"/>
      <c r="BI19" s="473"/>
      <c r="BJ19" s="473"/>
      <c r="BK19" s="473"/>
      <c r="BL19" s="473"/>
      <c r="BM19" s="473"/>
      <c r="BN19" s="473"/>
      <c r="BO19" s="970"/>
      <c r="BP19" s="485"/>
      <c r="BQ19" s="485"/>
      <c r="BR19" s="485" t="s">
        <v>961</v>
      </c>
      <c r="BS19" s="485" t="s">
        <v>967</v>
      </c>
      <c r="BT19" s="485" t="s">
        <v>59</v>
      </c>
      <c r="BU19" s="485" t="s">
        <v>1343</v>
      </c>
      <c r="BV19" s="485" t="s">
        <v>1344</v>
      </c>
      <c r="BW19" s="485"/>
      <c r="BX19" s="473"/>
      <c r="BY19" s="485" t="s">
        <v>966</v>
      </c>
      <c r="BZ19" s="485" t="s">
        <v>974</v>
      </c>
      <c r="CA19" s="485" t="s">
        <v>965</v>
      </c>
      <c r="CB19" s="485" t="s">
        <v>965</v>
      </c>
      <c r="CC19" s="485" t="s">
        <v>1345</v>
      </c>
      <c r="CD19" s="305" t="s">
        <v>1286</v>
      </c>
      <c r="CE19" s="304"/>
    </row>
    <row r="20" spans="1:85"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122"/>
      <c r="AS20" s="450" t="s">
        <v>285</v>
      </c>
      <c r="AT20" s="122"/>
      <c r="AU20" s="8"/>
      <c r="AV20" s="126"/>
      <c r="AX20" s="122"/>
      <c r="AY20" s="450" t="s">
        <v>285</v>
      </c>
      <c r="AZ20" s="623"/>
      <c r="BA20" s="623"/>
      <c r="BB20" s="628"/>
      <c r="BE20" s="473"/>
      <c r="BF20" s="473"/>
      <c r="BG20" s="473"/>
      <c r="BH20" s="473"/>
      <c r="BI20" s="473"/>
      <c r="BJ20" s="473"/>
      <c r="BK20" s="473"/>
      <c r="BL20" s="473"/>
      <c r="BM20" s="473"/>
      <c r="BN20" s="473"/>
      <c r="BO20" s="970"/>
      <c r="BP20" s="485"/>
      <c r="BQ20" s="485"/>
      <c r="BR20" s="971">
        <f>'POP Dimensions'!C15</f>
        <v>10737418.24</v>
      </c>
      <c r="BS20" s="954">
        <v>64</v>
      </c>
      <c r="BT20" s="972">
        <f>BS20*BR20</f>
        <v>687194767.36000001</v>
      </c>
      <c r="BU20" s="954">
        <v>16</v>
      </c>
      <c r="BV20" s="954"/>
      <c r="BW20" s="971">
        <f>BT20*BU20</f>
        <v>10995116277.76</v>
      </c>
      <c r="BX20" s="473"/>
      <c r="BY20" s="485" t="s">
        <v>785</v>
      </c>
      <c r="BZ20" s="485"/>
      <c r="CA20" s="485" t="s">
        <v>962</v>
      </c>
      <c r="CB20" s="485" t="s">
        <v>1341</v>
      </c>
      <c r="CC20" s="485" t="s">
        <v>1342</v>
      </c>
      <c r="CD20" s="305"/>
      <c r="CE20" s="304"/>
    </row>
    <row r="21" spans="1:85" ht="16.2" thickBot="1" x14ac:dyDescent="0.35">
      <c r="C21" s="149" t="s">
        <v>737</v>
      </c>
      <c r="D21" s="1214">
        <v>0.32634660207039301</v>
      </c>
      <c r="E21" s="151">
        <f>E11*D21</f>
        <v>1976515116.9870408</v>
      </c>
      <c r="F21" s="1092">
        <v>0.3</v>
      </c>
      <c r="G21" s="151">
        <f>E21*F21</f>
        <v>592954535.09611225</v>
      </c>
      <c r="H21" s="465">
        <v>0.93</v>
      </c>
      <c r="I21" s="151">
        <f>G21*H21</f>
        <v>551447717.63938439</v>
      </c>
      <c r="J21" s="465">
        <v>1</v>
      </c>
      <c r="K21" s="444">
        <f>I21*J21</f>
        <v>551447717.63938439</v>
      </c>
      <c r="L21" s="152">
        <f>H21</f>
        <v>0.93</v>
      </c>
      <c r="M21" s="444">
        <f>K21*L21</f>
        <v>512846377.4046275</v>
      </c>
      <c r="N21" s="152">
        <f>J21</f>
        <v>1</v>
      </c>
      <c r="O21" s="444">
        <f>M21*N21</f>
        <v>512846377.4046275</v>
      </c>
      <c r="P21" s="152">
        <f>L21</f>
        <v>0.93</v>
      </c>
      <c r="Q21" s="444">
        <f>O21*P21</f>
        <v>476947130.98630363</v>
      </c>
      <c r="R21" s="152">
        <f>N21</f>
        <v>1</v>
      </c>
      <c r="S21" s="444">
        <f>Q21*R21</f>
        <v>476947130.98630363</v>
      </c>
      <c r="T21" s="152">
        <f>P21</f>
        <v>0.93</v>
      </c>
      <c r="U21" s="444">
        <f>S21*T21</f>
        <v>443560831.81726241</v>
      </c>
      <c r="V21" s="152">
        <f>R21</f>
        <v>1</v>
      </c>
      <c r="W21" s="444">
        <f>U21*V21</f>
        <v>443560831.81726241</v>
      </c>
      <c r="X21" s="152">
        <f>T21</f>
        <v>0.93</v>
      </c>
      <c r="Y21" s="444">
        <f>W21*X21</f>
        <v>412511573.59005404</v>
      </c>
      <c r="Z21" s="152">
        <f>V21</f>
        <v>1</v>
      </c>
      <c r="AA21" s="444">
        <f>Y21*Z21</f>
        <v>412511573.59005404</v>
      </c>
      <c r="AB21" s="152">
        <f>X21</f>
        <v>0.93</v>
      </c>
      <c r="AC21" s="444">
        <f>AA21*AB21</f>
        <v>383635763.43875027</v>
      </c>
      <c r="AD21" s="152">
        <f>Z21</f>
        <v>1</v>
      </c>
      <c r="AE21" s="444">
        <f>AC21*AD21</f>
        <v>383635763.43875027</v>
      </c>
      <c r="AF21" s="152">
        <f>AB21</f>
        <v>0.93</v>
      </c>
      <c r="AG21" s="444">
        <f>AE21*AF21</f>
        <v>356781259.99803776</v>
      </c>
      <c r="AH21" s="152">
        <f>AD21</f>
        <v>1</v>
      </c>
      <c r="AI21" s="444">
        <f>AG21*AH21</f>
        <v>356781259.99803776</v>
      </c>
      <c r="AJ21" s="152">
        <f>AF21</f>
        <v>0.93</v>
      </c>
      <c r="AK21" s="444">
        <f>AI21*AJ21</f>
        <v>331806571.79817516</v>
      </c>
      <c r="AL21" s="152">
        <f>AH21</f>
        <v>1</v>
      </c>
      <c r="AM21" s="444">
        <f>AK21*AL21</f>
        <v>331806571.79817516</v>
      </c>
      <c r="AN21" s="152">
        <f>AB21</f>
        <v>0.93</v>
      </c>
      <c r="AO21" s="444">
        <f>AM21*AN21</f>
        <v>308580111.77230293</v>
      </c>
      <c r="AP21" s="152">
        <f>AD21</f>
        <v>1</v>
      </c>
      <c r="AQ21" s="444">
        <f>AO21*AP21</f>
        <v>308580111.77230293</v>
      </c>
      <c r="AR21" s="152">
        <f>AN21</f>
        <v>0.93</v>
      </c>
      <c r="AS21" s="444">
        <f>AQ21*AR21</f>
        <v>286979503.94824171</v>
      </c>
      <c r="AT21" s="152">
        <f>AP21</f>
        <v>1</v>
      </c>
      <c r="AU21" s="444">
        <f>AS21*AT21</f>
        <v>286979503.94824171</v>
      </c>
      <c r="AV21" s="719">
        <f>G21+I21+M21+Q21+U21+Y21+AC21+AG21+AK21+AO21+AS21</f>
        <v>4658051377.4892521</v>
      </c>
      <c r="AX21" s="594">
        <f>AR21</f>
        <v>0.93</v>
      </c>
      <c r="AY21" s="444">
        <f>AU21*AX21</f>
        <v>266890938.67186481</v>
      </c>
      <c r="AZ21" s="623"/>
      <c r="BA21" s="624"/>
      <c r="BB21" s="628"/>
      <c r="BE21" s="473"/>
      <c r="BU21" s="976"/>
      <c r="BV21" s="976"/>
      <c r="CE21" s="913"/>
    </row>
    <row r="22" spans="1:85"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437"/>
      <c r="AS22" s="449" t="s">
        <v>738</v>
      </c>
      <c r="AT22" s="433"/>
      <c r="AU22" s="434"/>
      <c r="AV22" s="180"/>
      <c r="AX22" s="437"/>
      <c r="AY22" s="449" t="s">
        <v>738</v>
      </c>
      <c r="AZ22" s="623"/>
      <c r="BA22" s="623"/>
      <c r="BB22" s="628"/>
      <c r="BE22" s="473"/>
      <c r="BL22" s="1" t="s">
        <v>955</v>
      </c>
      <c r="BP22" s="581" t="s">
        <v>964</v>
      </c>
      <c r="BQ22" s="75"/>
      <c r="BR22" s="75"/>
      <c r="BS22" s="986"/>
      <c r="BT22" s="896"/>
      <c r="BU22" s="980"/>
      <c r="BV22" s="980"/>
      <c r="BW22" s="75"/>
      <c r="BY22" s="75"/>
      <c r="BZ22" s="76"/>
      <c r="CA22" s="75"/>
      <c r="CB22" s="76">
        <f>CB31</f>
        <v>1372242051.072</v>
      </c>
      <c r="CC22" s="75"/>
      <c r="CD22" s="910"/>
      <c r="CE22" s="304"/>
    </row>
    <row r="23" spans="1:85" ht="16.2" thickBot="1" x14ac:dyDescent="0.35">
      <c r="C23" s="141"/>
      <c r="D23" s="94">
        <f>SUM(D14:D21)</f>
        <v>1</v>
      </c>
      <c r="E23" s="371"/>
      <c r="F23" s="1093">
        <v>0.25</v>
      </c>
      <c r="G23" s="432">
        <f>E21*F23</f>
        <v>494128779.24676019</v>
      </c>
      <c r="H23" s="466">
        <v>0.93</v>
      </c>
      <c r="I23" s="432">
        <f>G23*H23</f>
        <v>459539764.69948697</v>
      </c>
      <c r="J23" s="466">
        <v>1</v>
      </c>
      <c r="K23" s="449">
        <f>I23*J23</f>
        <v>459539764.69948697</v>
      </c>
      <c r="L23" s="430">
        <f>H23</f>
        <v>0.93</v>
      </c>
      <c r="M23" s="449">
        <f>K23*L23</f>
        <v>427371981.17052293</v>
      </c>
      <c r="N23" s="430">
        <f>J23</f>
        <v>1</v>
      </c>
      <c r="O23" s="449">
        <f>M23*N23</f>
        <v>427371981.17052293</v>
      </c>
      <c r="P23" s="430">
        <f>L23</f>
        <v>0.93</v>
      </c>
      <c r="Q23" s="449">
        <f>O23*P23</f>
        <v>397455942.48858637</v>
      </c>
      <c r="R23" s="430">
        <f>N23</f>
        <v>1</v>
      </c>
      <c r="S23" s="449">
        <f>Q23*R23</f>
        <v>397455942.48858637</v>
      </c>
      <c r="T23" s="430">
        <f>P23</f>
        <v>0.93</v>
      </c>
      <c r="U23" s="449">
        <f>S23*T23</f>
        <v>369634026.51438534</v>
      </c>
      <c r="V23" s="430">
        <f>R23</f>
        <v>1</v>
      </c>
      <c r="W23" s="449">
        <f>U23*V23</f>
        <v>369634026.51438534</v>
      </c>
      <c r="X23" s="430">
        <f>T23</f>
        <v>0.93</v>
      </c>
      <c r="Y23" s="449">
        <f>W23*X23</f>
        <v>343759644.65837836</v>
      </c>
      <c r="Z23" s="430">
        <f>V23</f>
        <v>1</v>
      </c>
      <c r="AA23" s="449">
        <f>Y23*Z23</f>
        <v>343759644.65837836</v>
      </c>
      <c r="AB23" s="430">
        <f>X23</f>
        <v>0.93</v>
      </c>
      <c r="AC23" s="449">
        <f>AA23*AB23</f>
        <v>319696469.53229189</v>
      </c>
      <c r="AD23" s="430">
        <f>Z23</f>
        <v>1</v>
      </c>
      <c r="AE23" s="449">
        <f>AC23*AD23</f>
        <v>319696469.53229189</v>
      </c>
      <c r="AF23" s="430">
        <f>AB23</f>
        <v>0.93</v>
      </c>
      <c r="AG23" s="449">
        <f>AE23*AF23</f>
        <v>297317716.66503149</v>
      </c>
      <c r="AH23" s="430">
        <f>AD23</f>
        <v>1</v>
      </c>
      <c r="AI23" s="449">
        <f>AG23*AH23</f>
        <v>297317716.66503149</v>
      </c>
      <c r="AJ23" s="430">
        <f>AF23</f>
        <v>0.93</v>
      </c>
      <c r="AK23" s="449">
        <f>AI23*AJ23</f>
        <v>276505476.49847931</v>
      </c>
      <c r="AL23" s="430">
        <f>AH23</f>
        <v>1</v>
      </c>
      <c r="AM23" s="449">
        <f>AK23*AL23</f>
        <v>276505476.49847931</v>
      </c>
      <c r="AN23" s="430">
        <f>AB23</f>
        <v>0.93</v>
      </c>
      <c r="AO23" s="449">
        <f>AM23*AN23</f>
        <v>257150093.14358577</v>
      </c>
      <c r="AP23" s="430">
        <f>AD23</f>
        <v>1</v>
      </c>
      <c r="AQ23" s="449">
        <f>AO23*AP23</f>
        <v>257150093.14358577</v>
      </c>
      <c r="AR23" s="430">
        <f>AN23</f>
        <v>0.93</v>
      </c>
      <c r="AS23" s="449">
        <f>AQ23*AR23</f>
        <v>239149586.62353477</v>
      </c>
      <c r="AT23" s="430">
        <f>AP23</f>
        <v>1</v>
      </c>
      <c r="AU23" s="449">
        <f>AS23*AT23</f>
        <v>239149586.62353477</v>
      </c>
      <c r="AV23" s="719">
        <f>G23+I23+M23+Q23+U23+Y23+AC23+AG23+AK23+AO23+AS23</f>
        <v>3881709481.2410431</v>
      </c>
      <c r="AX23" s="595">
        <f>AR23</f>
        <v>0.93</v>
      </c>
      <c r="AY23" s="449">
        <f>AU23*AX23</f>
        <v>222409115.55988735</v>
      </c>
      <c r="AZ23" s="623"/>
      <c r="BA23" s="624"/>
      <c r="BB23" s="628"/>
      <c r="BE23" s="473"/>
      <c r="BJ23" s="982" t="s">
        <v>989</v>
      </c>
      <c r="BK23" s="983">
        <v>2016</v>
      </c>
      <c r="BL23" s="910">
        <v>75543543000000</v>
      </c>
      <c r="BM23" s="984">
        <v>2.5000000000000001E-2</v>
      </c>
      <c r="BN23" s="910">
        <f>BL23*BM23</f>
        <v>1888588575000</v>
      </c>
      <c r="BP23" s="75"/>
      <c r="BQ23" s="968">
        <v>2016</v>
      </c>
      <c r="BR23" s="305">
        <f>BR20</f>
        <v>10737418.24</v>
      </c>
      <c r="BS23" s="986">
        <v>64</v>
      </c>
      <c r="BT23" s="411">
        <f t="shared" ref="BT23:BT35" si="0">BS23*BR23</f>
        <v>687194767.36000001</v>
      </c>
      <c r="BU23" s="980"/>
      <c r="BV23" s="980"/>
      <c r="BW23" s="305">
        <f t="shared" ref="BW23:BW35" si="1">BT23*BU23</f>
        <v>0</v>
      </c>
      <c r="BY23" s="75"/>
      <c r="BZ23" s="76"/>
      <c r="CA23" s="75"/>
      <c r="CB23" s="953">
        <v>25000</v>
      </c>
      <c r="CC23" s="968" t="s">
        <v>1349</v>
      </c>
      <c r="CD23" s="910"/>
      <c r="CE23" s="981">
        <v>2016</v>
      </c>
    </row>
    <row r="24" spans="1:85"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122"/>
      <c r="AS24" s="448" t="s">
        <v>294</v>
      </c>
      <c r="AT24" s="122"/>
      <c r="AU24" s="8"/>
      <c r="AV24" s="126"/>
      <c r="AX24" s="122"/>
      <c r="AY24" s="448" t="s">
        <v>294</v>
      </c>
      <c r="AZ24" s="623"/>
      <c r="BA24" s="623"/>
      <c r="BB24" s="628"/>
      <c r="BE24" s="473"/>
      <c r="BJ24" s="982" t="s">
        <v>989</v>
      </c>
      <c r="BK24" s="983">
        <f>BK23+1</f>
        <v>2017</v>
      </c>
      <c r="BL24" s="910">
        <f>BL23+BN23</f>
        <v>77432131575000</v>
      </c>
      <c r="BM24" s="985">
        <f>BM23</f>
        <v>2.5000000000000001E-2</v>
      </c>
      <c r="BN24" s="910">
        <f>BL24*BM24</f>
        <v>1935803289375</v>
      </c>
      <c r="BP24" s="75"/>
      <c r="BQ24" s="968">
        <f>BQ23+1</f>
        <v>2017</v>
      </c>
      <c r="BR24" s="305">
        <f>BR20</f>
        <v>10737418.24</v>
      </c>
      <c r="BS24" s="986">
        <v>64</v>
      </c>
      <c r="BT24" s="411">
        <f t="shared" si="0"/>
        <v>687194767.36000001</v>
      </c>
      <c r="BU24" s="980"/>
      <c r="BV24" s="980"/>
      <c r="BW24" s="305">
        <f t="shared" si="1"/>
        <v>0</v>
      </c>
      <c r="BY24" s="75"/>
      <c r="BZ24" s="76"/>
      <c r="CA24" s="75"/>
      <c r="CB24" s="76">
        <f>CB22/CB23</f>
        <v>54889.682042879998</v>
      </c>
      <c r="CC24" s="75"/>
      <c r="CD24" s="910"/>
      <c r="CE24" s="981">
        <f>CE23+1</f>
        <v>2017</v>
      </c>
    </row>
    <row r="25" spans="1:85" ht="16.2" thickBot="1" x14ac:dyDescent="0.35">
      <c r="C25" s="122"/>
      <c r="D25" s="573" t="s">
        <v>1367</v>
      </c>
      <c r="E25" s="7"/>
      <c r="F25" s="1094">
        <v>0.2</v>
      </c>
      <c r="G25" s="99">
        <f>E21*F25</f>
        <v>395303023.39740819</v>
      </c>
      <c r="H25" s="467">
        <v>0.93</v>
      </c>
      <c r="I25" s="99">
        <f>G25*H25</f>
        <v>367631811.75958961</v>
      </c>
      <c r="J25" s="467">
        <v>1</v>
      </c>
      <c r="K25" s="443">
        <f>I25*J25</f>
        <v>367631811.75958961</v>
      </c>
      <c r="L25" s="153">
        <f>H25</f>
        <v>0.93</v>
      </c>
      <c r="M25" s="443">
        <f>K25*L25</f>
        <v>341897584.93641835</v>
      </c>
      <c r="N25" s="153">
        <f>J25</f>
        <v>1</v>
      </c>
      <c r="O25" s="443">
        <f>M25*N25</f>
        <v>341897584.93641835</v>
      </c>
      <c r="P25" s="153">
        <f>L25</f>
        <v>0.93</v>
      </c>
      <c r="Q25" s="443">
        <f>O25*P25</f>
        <v>317964753.9908691</v>
      </c>
      <c r="R25" s="153">
        <f>N25</f>
        <v>1</v>
      </c>
      <c r="S25" s="443">
        <f>Q25*R25</f>
        <v>317964753.9908691</v>
      </c>
      <c r="T25" s="153">
        <f>P25</f>
        <v>0.93</v>
      </c>
      <c r="U25" s="443">
        <f>S25*T25</f>
        <v>295707221.21150827</v>
      </c>
      <c r="V25" s="153">
        <f>R25</f>
        <v>1</v>
      </c>
      <c r="W25" s="443">
        <f>U25*V25</f>
        <v>295707221.21150827</v>
      </c>
      <c r="X25" s="153">
        <f>T25</f>
        <v>0.93</v>
      </c>
      <c r="Y25" s="443">
        <f>W25*X25</f>
        <v>275007715.72670269</v>
      </c>
      <c r="Z25" s="153">
        <f>V25</f>
        <v>1</v>
      </c>
      <c r="AA25" s="443">
        <f>Y25*Z25</f>
        <v>275007715.72670269</v>
      </c>
      <c r="AB25" s="153">
        <f>X25</f>
        <v>0.93</v>
      </c>
      <c r="AC25" s="443">
        <f>AA25*AB25</f>
        <v>255757175.62583351</v>
      </c>
      <c r="AD25" s="153">
        <f>Z25</f>
        <v>1</v>
      </c>
      <c r="AE25" s="443">
        <f>AC25*AD25</f>
        <v>255757175.62583351</v>
      </c>
      <c r="AF25" s="153">
        <f>AB25</f>
        <v>0.93</v>
      </c>
      <c r="AG25" s="443">
        <f>AE25*AF25</f>
        <v>237854173.33202517</v>
      </c>
      <c r="AH25" s="153">
        <f>AD25</f>
        <v>1</v>
      </c>
      <c r="AI25" s="443">
        <f>AG25*AH25</f>
        <v>237854173.33202517</v>
      </c>
      <c r="AJ25" s="153">
        <f>AF25</f>
        <v>0.93</v>
      </c>
      <c r="AK25" s="443">
        <f>AI25*AJ25</f>
        <v>221204381.19878343</v>
      </c>
      <c r="AL25" s="153">
        <f>AH25</f>
        <v>1</v>
      </c>
      <c r="AM25" s="443">
        <f>AK25*AL25</f>
        <v>221204381.19878343</v>
      </c>
      <c r="AN25" s="153">
        <f>AB25</f>
        <v>0.93</v>
      </c>
      <c r="AO25" s="443">
        <f>AM25*AN25</f>
        <v>205720074.51486859</v>
      </c>
      <c r="AP25" s="153">
        <f>AD25</f>
        <v>1</v>
      </c>
      <c r="AQ25" s="443">
        <f>AO25*AP25</f>
        <v>205720074.51486859</v>
      </c>
      <c r="AR25" s="153">
        <f>AN25</f>
        <v>0.93</v>
      </c>
      <c r="AS25" s="443">
        <f>AQ25*AR25</f>
        <v>191319669.2988278</v>
      </c>
      <c r="AT25" s="153">
        <f>AP25</f>
        <v>1</v>
      </c>
      <c r="AU25" s="443">
        <f>AS25*AT25</f>
        <v>191319669.2988278</v>
      </c>
      <c r="AV25" s="719">
        <f>G25+I25+M25+Q25+U25+Y25+AC25+AG25+AK25+AO25+AS25</f>
        <v>3105367584.9928346</v>
      </c>
      <c r="AX25" s="596">
        <f>AR25</f>
        <v>0.93</v>
      </c>
      <c r="AY25" s="443">
        <f>AU25*AX25</f>
        <v>177927292.44790986</v>
      </c>
      <c r="AZ25" s="623"/>
      <c r="BA25" s="624"/>
      <c r="BB25" s="628"/>
      <c r="BE25" s="473"/>
      <c r="BJ25" s="982" t="s">
        <v>989</v>
      </c>
      <c r="BK25" s="983">
        <f t="shared" ref="BK25:BK35" si="2">BK24+1</f>
        <v>2018</v>
      </c>
      <c r="BL25" s="910">
        <f t="shared" ref="BL25:BL35" si="3">BL24+BN24</f>
        <v>79367934864375</v>
      </c>
      <c r="BM25" s="985">
        <f t="shared" ref="BM25:BM35" si="4">BM24</f>
        <v>2.5000000000000001E-2</v>
      </c>
      <c r="BN25" s="910">
        <f t="shared" ref="BN25:BN35" si="5">BL25*BM25</f>
        <v>1984198371609.375</v>
      </c>
      <c r="BP25" s="75"/>
      <c r="BQ25" s="968">
        <f t="shared" ref="BQ25:BQ35" si="6">BQ24+1</f>
        <v>2018</v>
      </c>
      <c r="BR25" s="305">
        <f>BR20</f>
        <v>10737418.24</v>
      </c>
      <c r="BS25" s="986">
        <v>64</v>
      </c>
      <c r="BT25" s="411">
        <f t="shared" si="0"/>
        <v>687194767.36000001</v>
      </c>
      <c r="BU25" s="980">
        <v>2.5000000000000001E-2</v>
      </c>
      <c r="BV25" s="980"/>
      <c r="BW25" s="305">
        <f t="shared" si="1"/>
        <v>17179869.184</v>
      </c>
      <c r="BX25" s="978" t="s">
        <v>1144</v>
      </c>
      <c r="BY25" s="305">
        <f t="shared" ref="BY25:BY55" si="7">BW25</f>
        <v>17179869.184</v>
      </c>
      <c r="BZ25" s="691">
        <f t="shared" ref="BZ25:BZ35" si="8">BY25+BZ24-CD25</f>
        <v>17179869.184</v>
      </c>
      <c r="CA25" s="893">
        <v>0.125</v>
      </c>
      <c r="CB25" s="973">
        <f>BZ25*CA25</f>
        <v>2147483.648</v>
      </c>
      <c r="CC25" s="305">
        <f>AV58</f>
        <v>1199277690.2583988</v>
      </c>
      <c r="CD25" s="910">
        <f t="shared" ref="CD25:CD35" si="9">BT25*BV25</f>
        <v>0</v>
      </c>
      <c r="CE25" s="981">
        <f t="shared" ref="CE25:CE55" si="10">CE24+1</f>
        <v>2018</v>
      </c>
    </row>
    <row r="26" spans="1:85"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126"/>
      <c r="AX26" s="122"/>
      <c r="AY26" s="452" t="s">
        <v>733</v>
      </c>
      <c r="AZ26" s="623"/>
      <c r="BA26" s="623"/>
      <c r="BB26" s="628"/>
      <c r="BE26" s="473"/>
      <c r="BJ26" s="982" t="s">
        <v>989</v>
      </c>
      <c r="BK26" s="983">
        <f t="shared" si="2"/>
        <v>2019</v>
      </c>
      <c r="BL26" s="910">
        <f t="shared" si="3"/>
        <v>81352133235984.375</v>
      </c>
      <c r="BM26" s="985">
        <f t="shared" si="4"/>
        <v>2.5000000000000001E-2</v>
      </c>
      <c r="BN26" s="910">
        <f t="shared" si="5"/>
        <v>2033803330899.6094</v>
      </c>
      <c r="BP26" s="75"/>
      <c r="BQ26" s="968">
        <f t="shared" si="6"/>
        <v>2019</v>
      </c>
      <c r="BR26" s="305">
        <f>BR20</f>
        <v>10737418.24</v>
      </c>
      <c r="BS26" s="986">
        <v>64</v>
      </c>
      <c r="BT26" s="411">
        <f t="shared" si="0"/>
        <v>687194767.36000001</v>
      </c>
      <c r="BU26" s="980">
        <v>0.2</v>
      </c>
      <c r="BV26" s="980"/>
      <c r="BW26" s="305">
        <f t="shared" si="1"/>
        <v>137438953.472</v>
      </c>
      <c r="BX26" s="978" t="s">
        <v>1144</v>
      </c>
      <c r="BY26" s="305">
        <f t="shared" si="7"/>
        <v>137438953.472</v>
      </c>
      <c r="BZ26" s="691">
        <f t="shared" si="8"/>
        <v>154618822.65600002</v>
      </c>
      <c r="CA26" s="893">
        <f>CA25</f>
        <v>0.125</v>
      </c>
      <c r="CB26" s="973">
        <f t="shared" ref="CB26:CB55" si="11">BZ26*CA26</f>
        <v>19327352.832000002</v>
      </c>
      <c r="CC26" s="305">
        <f>CC25</f>
        <v>1199277690.2583988</v>
      </c>
      <c r="CD26" s="910">
        <f t="shared" si="9"/>
        <v>0</v>
      </c>
      <c r="CE26" s="981">
        <f t="shared" si="10"/>
        <v>2019</v>
      </c>
    </row>
    <row r="27" spans="1:85" ht="19.2" thickBot="1" x14ac:dyDescent="0.5">
      <c r="C27" s="122"/>
      <c r="D27" s="574" t="s">
        <v>1369</v>
      </c>
      <c r="E27" s="7"/>
      <c r="F27" s="1096">
        <v>0.25</v>
      </c>
      <c r="G27" s="446">
        <f>E21*F27</f>
        <v>494128779.24676019</v>
      </c>
      <c r="H27" s="447">
        <v>0.25</v>
      </c>
      <c r="I27" s="446">
        <f>G27*H27</f>
        <v>123532194.81169005</v>
      </c>
      <c r="J27" s="447">
        <v>1</v>
      </c>
      <c r="K27" s="439">
        <f>I27*J27</f>
        <v>123532194.81169005</v>
      </c>
      <c r="L27" s="438">
        <f>H27</f>
        <v>0.25</v>
      </c>
      <c r="M27" s="439">
        <f>K27*L27</f>
        <v>30883048.702922512</v>
      </c>
      <c r="N27" s="438">
        <f>J27</f>
        <v>1</v>
      </c>
      <c r="O27" s="439">
        <f>M27*N27</f>
        <v>30883048.702922512</v>
      </c>
      <c r="P27" s="438">
        <f>L27</f>
        <v>0.25</v>
      </c>
      <c r="Q27" s="439">
        <f>O27*P27</f>
        <v>7720762.175730628</v>
      </c>
      <c r="R27" s="438">
        <f>N27</f>
        <v>1</v>
      </c>
      <c r="S27" s="439">
        <f>Q27*R27</f>
        <v>7720762.175730628</v>
      </c>
      <c r="T27" s="438">
        <f>P27</f>
        <v>0.25</v>
      </c>
      <c r="U27" s="439">
        <f>S27*T27</f>
        <v>1930190.543932657</v>
      </c>
      <c r="V27" s="438">
        <f>R27</f>
        <v>1</v>
      </c>
      <c r="W27" s="439">
        <f>U27*V27</f>
        <v>1930190.543932657</v>
      </c>
      <c r="X27" s="438">
        <f>T27</f>
        <v>0.25</v>
      </c>
      <c r="Y27" s="439">
        <f>W27*X27</f>
        <v>482547.63598316425</v>
      </c>
      <c r="Z27" s="438">
        <f>V27</f>
        <v>1</v>
      </c>
      <c r="AA27" s="439">
        <f>Y27*Z27</f>
        <v>482547.63598316425</v>
      </c>
      <c r="AB27" s="438">
        <f>X27</f>
        <v>0.25</v>
      </c>
      <c r="AC27" s="439">
        <f>AA27*AB27</f>
        <v>120636.90899579106</v>
      </c>
      <c r="AD27" s="438">
        <f>Z27</f>
        <v>1</v>
      </c>
      <c r="AE27" s="439">
        <f>AC27*AD27</f>
        <v>120636.90899579106</v>
      </c>
      <c r="AF27" s="438">
        <f>AB27</f>
        <v>0.25</v>
      </c>
      <c r="AG27" s="439">
        <f>AE27*AF27</f>
        <v>30159.227248947765</v>
      </c>
      <c r="AH27" s="438">
        <f>AD27</f>
        <v>1</v>
      </c>
      <c r="AI27" s="439">
        <f>AG27*AH27</f>
        <v>30159.227248947765</v>
      </c>
      <c r="AJ27" s="438">
        <f>AF27</f>
        <v>0.25</v>
      </c>
      <c r="AK27" s="439">
        <f>AI27*AJ27</f>
        <v>7539.8068122369414</v>
      </c>
      <c r="AL27" s="438">
        <f>AH27</f>
        <v>1</v>
      </c>
      <c r="AM27" s="439">
        <f>AK27*AL27</f>
        <v>7539.8068122369414</v>
      </c>
      <c r="AN27" s="438">
        <f>AB27</f>
        <v>0.25</v>
      </c>
      <c r="AO27" s="439">
        <f>AM27*AN27</f>
        <v>1884.9517030592353</v>
      </c>
      <c r="AP27" s="438">
        <f>AD27</f>
        <v>1</v>
      </c>
      <c r="AQ27" s="439">
        <f>AO27*AP27</f>
        <v>1884.9517030592353</v>
      </c>
      <c r="AR27" s="438">
        <f>AN27</f>
        <v>0.25</v>
      </c>
      <c r="AS27" s="439">
        <f>AQ27*AR27</f>
        <v>471.23792576480884</v>
      </c>
      <c r="AT27" s="438">
        <f>AP27</f>
        <v>1</v>
      </c>
      <c r="AU27" s="439">
        <f>AS27*AT27</f>
        <v>471.23792576480884</v>
      </c>
      <c r="AV27" s="719">
        <f>G27+I27+M27+Q27+U27+Y27+AC27+AG27+AK27+AO27+AS27</f>
        <v>658838215.24970484</v>
      </c>
      <c r="AX27" s="597">
        <f>AR27</f>
        <v>0.25</v>
      </c>
      <c r="AY27" s="439">
        <f>AU27*AX27</f>
        <v>117.80948144120221</v>
      </c>
      <c r="AZ27" s="623"/>
      <c r="BA27" s="624"/>
      <c r="BB27" s="628"/>
      <c r="BE27" s="473"/>
      <c r="BJ27" s="982" t="s">
        <v>989</v>
      </c>
      <c r="BK27" s="983">
        <f t="shared" si="2"/>
        <v>2020</v>
      </c>
      <c r="BL27" s="910">
        <f t="shared" si="3"/>
        <v>83385936566883.984</v>
      </c>
      <c r="BM27" s="985">
        <f t="shared" si="4"/>
        <v>2.5000000000000001E-2</v>
      </c>
      <c r="BN27" s="910">
        <f t="shared" si="5"/>
        <v>2084648414172.0996</v>
      </c>
      <c r="BO27" s="895" t="s">
        <v>1283</v>
      </c>
      <c r="BP27" s="75"/>
      <c r="BQ27" s="968">
        <f t="shared" si="6"/>
        <v>2020</v>
      </c>
      <c r="BR27" s="305">
        <f>BR20</f>
        <v>10737418.24</v>
      </c>
      <c r="BS27" s="986">
        <v>64</v>
      </c>
      <c r="BT27" s="411">
        <f t="shared" si="0"/>
        <v>687194767.36000001</v>
      </c>
      <c r="BU27" s="980">
        <v>1.5</v>
      </c>
      <c r="BV27" s="980"/>
      <c r="BW27" s="305">
        <f t="shared" si="1"/>
        <v>1030792151.04</v>
      </c>
      <c r="BX27" s="978" t="s">
        <v>1144</v>
      </c>
      <c r="BY27" s="305">
        <f t="shared" si="7"/>
        <v>1030792151.04</v>
      </c>
      <c r="BZ27" s="691">
        <f t="shared" si="8"/>
        <v>1185410973.6960001</v>
      </c>
      <c r="CA27" s="893">
        <f t="shared" ref="CA27:CA31" si="12">CA26</f>
        <v>0.125</v>
      </c>
      <c r="CB27" s="973">
        <f t="shared" si="11"/>
        <v>148176371.71200001</v>
      </c>
      <c r="CC27" s="305">
        <f t="shared" ref="CC27:CC55" si="13">CC26</f>
        <v>1199277690.2583988</v>
      </c>
      <c r="CD27" s="910">
        <f t="shared" si="9"/>
        <v>0</v>
      </c>
      <c r="CE27" s="981">
        <f t="shared" si="10"/>
        <v>2020</v>
      </c>
    </row>
    <row r="28" spans="1:85"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437"/>
      <c r="AS28" s="434"/>
      <c r="AT28" s="142"/>
      <c r="AU28" s="434"/>
      <c r="AV28" s="180"/>
      <c r="AX28" s="122"/>
      <c r="AY28" s="8"/>
      <c r="AZ28" s="623"/>
      <c r="BA28" s="624"/>
      <c r="BB28" s="629">
        <f>AY5</f>
        <v>2726047878.5302467</v>
      </c>
      <c r="BE28" s="473"/>
      <c r="BJ28" s="982" t="s">
        <v>989</v>
      </c>
      <c r="BK28" s="983">
        <f t="shared" si="2"/>
        <v>2021</v>
      </c>
      <c r="BL28" s="910">
        <f t="shared" si="3"/>
        <v>85470584981056.078</v>
      </c>
      <c r="BM28" s="985">
        <f t="shared" si="4"/>
        <v>2.5000000000000001E-2</v>
      </c>
      <c r="BN28" s="910">
        <f t="shared" si="5"/>
        <v>2136764624526.4021</v>
      </c>
      <c r="BP28" s="75"/>
      <c r="BQ28" s="968">
        <f t="shared" si="6"/>
        <v>2021</v>
      </c>
      <c r="BR28" s="305">
        <f>BR20</f>
        <v>10737418.24</v>
      </c>
      <c r="BS28" s="986">
        <v>64</v>
      </c>
      <c r="BT28" s="411">
        <f t="shared" si="0"/>
        <v>687194767.36000001</v>
      </c>
      <c r="BU28" s="980">
        <v>1.25</v>
      </c>
      <c r="BV28" s="980"/>
      <c r="BW28" s="305">
        <f t="shared" si="1"/>
        <v>858993459.20000005</v>
      </c>
      <c r="BX28" s="978" t="s">
        <v>1144</v>
      </c>
      <c r="BY28" s="305">
        <f t="shared" si="7"/>
        <v>858993459.20000005</v>
      </c>
      <c r="BZ28" s="691">
        <f t="shared" si="8"/>
        <v>2044404432.8960001</v>
      </c>
      <c r="CA28" s="893">
        <f t="shared" si="12"/>
        <v>0.125</v>
      </c>
      <c r="CB28" s="973">
        <f t="shared" si="11"/>
        <v>255550554.11200002</v>
      </c>
      <c r="CC28" s="305">
        <f t="shared" si="13"/>
        <v>1199277690.2583988</v>
      </c>
      <c r="CD28" s="910">
        <f t="shared" si="9"/>
        <v>0</v>
      </c>
      <c r="CE28" s="981">
        <f t="shared" si="10"/>
        <v>2021</v>
      </c>
    </row>
    <row r="29" spans="1:85"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122"/>
      <c r="AS29" s="8"/>
      <c r="AT29" s="122"/>
      <c r="AU29" s="8"/>
      <c r="AV29" s="180">
        <f>SUM(AV10:AV27)</f>
        <v>43369209603.646988</v>
      </c>
      <c r="AX29" s="179"/>
      <c r="AY29" s="161">
        <f>SUM(AY10:AY28)</f>
        <v>2427968687.2995596</v>
      </c>
      <c r="AZ29" s="691">
        <v>1</v>
      </c>
      <c r="BA29" s="183">
        <f>AY29*AZ29</f>
        <v>2427968687.2995596</v>
      </c>
      <c r="BB29" s="645">
        <f>BA29+BB28</f>
        <v>5154016565.8298063</v>
      </c>
      <c r="BC29" s="253" t="s">
        <v>1383</v>
      </c>
      <c r="BE29" s="473"/>
      <c r="BJ29" s="982" t="s">
        <v>989</v>
      </c>
      <c r="BK29" s="983">
        <f>BK28+1</f>
        <v>2022</v>
      </c>
      <c r="BL29" s="910">
        <f>BL28+BN28</f>
        <v>87607349605582.484</v>
      </c>
      <c r="BM29" s="985">
        <f>BM28</f>
        <v>2.5000000000000001E-2</v>
      </c>
      <c r="BN29" s="910">
        <f t="shared" si="5"/>
        <v>2190183740139.5623</v>
      </c>
      <c r="BP29" s="75"/>
      <c r="BQ29" s="968">
        <f>BQ28+1</f>
        <v>2022</v>
      </c>
      <c r="BR29" s="305">
        <f>BR20</f>
        <v>10737418.24</v>
      </c>
      <c r="BS29" s="986">
        <v>64</v>
      </c>
      <c r="BT29" s="411">
        <f t="shared" si="0"/>
        <v>687194767.36000001</v>
      </c>
      <c r="BU29" s="980">
        <v>2</v>
      </c>
      <c r="BV29" s="980"/>
      <c r="BW29" s="305">
        <f t="shared" si="1"/>
        <v>1374389534.72</v>
      </c>
      <c r="BX29" s="978" t="s">
        <v>1144</v>
      </c>
      <c r="BY29" s="305">
        <f t="shared" si="7"/>
        <v>1374389534.72</v>
      </c>
      <c r="BZ29" s="691">
        <f t="shared" si="8"/>
        <v>3418793967.6160002</v>
      </c>
      <c r="CA29" s="893">
        <f t="shared" si="12"/>
        <v>0.125</v>
      </c>
      <c r="CB29" s="973">
        <f t="shared" si="11"/>
        <v>427349245.95200002</v>
      </c>
      <c r="CC29" s="305">
        <f t="shared" si="13"/>
        <v>1199277690.2583988</v>
      </c>
      <c r="CD29" s="910">
        <f t="shared" si="9"/>
        <v>0</v>
      </c>
      <c r="CE29" s="981">
        <f>CE28+1</f>
        <v>2022</v>
      </c>
    </row>
    <row r="30" spans="1:85" x14ac:dyDescent="0.3">
      <c r="C30" s="158"/>
      <c r="D30" s="10"/>
      <c r="E30" s="10"/>
      <c r="F30" s="10"/>
      <c r="G30" s="159">
        <f>SUM(G10:G29)</f>
        <v>6056490566.924017</v>
      </c>
      <c r="H30" s="599"/>
      <c r="I30" s="172">
        <f>SUM(I10:I29)</f>
        <v>5224159710.4519997</v>
      </c>
      <c r="J30" s="158"/>
      <c r="K30" s="11"/>
      <c r="L30" s="160"/>
      <c r="M30" s="161">
        <f>SUM(M10:M29)</f>
        <v>4738282164.7986422</v>
      </c>
      <c r="N30" s="158"/>
      <c r="O30" s="11"/>
      <c r="P30" s="598"/>
      <c r="Q30" s="172">
        <f>SUM(Q10:Q29)</f>
        <v>4367509703.4198656</v>
      </c>
      <c r="R30" s="158"/>
      <c r="S30" s="11"/>
      <c r="T30" s="160"/>
      <c r="U30" s="161">
        <f>SUM(U10:U29)</f>
        <v>4047487787.5385361</v>
      </c>
      <c r="V30" s="158"/>
      <c r="W30" s="11"/>
      <c r="X30" s="598"/>
      <c r="Y30" s="172">
        <f>SUM(Y10:Y29)</f>
        <v>3758328053.6597428</v>
      </c>
      <c r="Z30" s="158"/>
      <c r="AA30" s="11"/>
      <c r="AB30" s="160"/>
      <c r="AC30" s="161">
        <f>SUM(AC10:AC29)</f>
        <v>3492655427.9204822</v>
      </c>
      <c r="AD30" s="158"/>
      <c r="AE30" s="11"/>
      <c r="AF30" s="598"/>
      <c r="AG30" s="172">
        <f>SUM(AG10:AG29)</f>
        <v>3246956750.0726261</v>
      </c>
      <c r="AH30" s="158"/>
      <c r="AI30" s="11"/>
      <c r="AJ30" s="598"/>
      <c r="AK30" s="172">
        <f>SUM(AK10:AK29)</f>
        <v>3019083886.8953609</v>
      </c>
      <c r="AL30" s="158"/>
      <c r="AM30" s="11"/>
      <c r="AN30" s="598"/>
      <c r="AO30" s="172">
        <f>SUM(AO10:AO29)</f>
        <v>2807460196.5452271</v>
      </c>
      <c r="AP30" s="158"/>
      <c r="AQ30" s="11"/>
      <c r="AR30" s="179"/>
      <c r="AS30" s="161">
        <f>SUM(AS10:AS29)</f>
        <v>2610795355.4204893</v>
      </c>
      <c r="AT30" s="158"/>
      <c r="AU30" s="11"/>
      <c r="AV30" s="161">
        <f>G30+I30+M30+Q30+U30+Y30+AC30+AO30+AS30</f>
        <v>37103168966.679001</v>
      </c>
      <c r="BB30" s="253" t="s">
        <v>1383</v>
      </c>
      <c r="BE30" s="473"/>
      <c r="BJ30" s="982" t="s">
        <v>989</v>
      </c>
      <c r="BK30" s="983">
        <f>BK29+1</f>
        <v>2023</v>
      </c>
      <c r="BL30" s="910">
        <f>BL29+BN29</f>
        <v>89797533345722.047</v>
      </c>
      <c r="BM30" s="985">
        <f>BM29</f>
        <v>2.5000000000000001E-2</v>
      </c>
      <c r="BN30" s="910">
        <f t="shared" si="5"/>
        <v>2244938333643.0513</v>
      </c>
      <c r="BP30" s="75"/>
      <c r="BQ30" s="968">
        <f>BQ29+1</f>
        <v>2023</v>
      </c>
      <c r="BR30" s="305">
        <f>BR20</f>
        <v>10737418.24</v>
      </c>
      <c r="BS30" s="986">
        <v>64</v>
      </c>
      <c r="BT30" s="411">
        <f t="shared" si="0"/>
        <v>687194767.36000001</v>
      </c>
      <c r="BU30" s="980">
        <v>3</v>
      </c>
      <c r="BV30" s="980"/>
      <c r="BW30" s="305">
        <f t="shared" si="1"/>
        <v>2061584302.0799999</v>
      </c>
      <c r="BX30" s="978" t="s">
        <v>1144</v>
      </c>
      <c r="BY30" s="305">
        <f t="shared" si="7"/>
        <v>2061584302.0799999</v>
      </c>
      <c r="BZ30" s="691">
        <f t="shared" si="8"/>
        <v>5480378269.6960001</v>
      </c>
      <c r="CA30" s="893">
        <f t="shared" si="12"/>
        <v>0.125</v>
      </c>
      <c r="CB30" s="973">
        <f t="shared" si="11"/>
        <v>685047283.71200001</v>
      </c>
      <c r="CC30" s="305">
        <f t="shared" si="13"/>
        <v>1199277690.2583988</v>
      </c>
      <c r="CD30" s="910">
        <f t="shared" si="9"/>
        <v>0</v>
      </c>
      <c r="CE30" s="981">
        <f>CE29+1</f>
        <v>2023</v>
      </c>
    </row>
    <row r="31" spans="1:85" x14ac:dyDescent="0.3">
      <c r="I31" s="30"/>
      <c r="Q31" s="30"/>
      <c r="Y31" s="30"/>
      <c r="AV31" s="999" t="s">
        <v>1355</v>
      </c>
      <c r="AX31" s="77" t="s">
        <v>1382</v>
      </c>
      <c r="AY31" s="567">
        <f>AV34</f>
        <v>7.5082228965789453</v>
      </c>
      <c r="AZ31" s="76"/>
      <c r="BA31" s="76" t="s">
        <v>957</v>
      </c>
      <c r="BE31" s="473"/>
      <c r="BJ31" s="982" t="s">
        <v>989</v>
      </c>
      <c r="BK31" s="983">
        <f t="shared" si="2"/>
        <v>2024</v>
      </c>
      <c r="BL31" s="910">
        <f t="shared" si="3"/>
        <v>92042471679365.094</v>
      </c>
      <c r="BM31" s="985">
        <f t="shared" si="4"/>
        <v>2.5000000000000001E-2</v>
      </c>
      <c r="BN31" s="910">
        <f t="shared" si="5"/>
        <v>2301061791984.1274</v>
      </c>
      <c r="BO31" s="895" t="s">
        <v>1282</v>
      </c>
      <c r="BP31" s="75"/>
      <c r="BQ31" s="968">
        <f t="shared" si="6"/>
        <v>2024</v>
      </c>
      <c r="BR31" s="305">
        <f>BR20</f>
        <v>10737418.24</v>
      </c>
      <c r="BS31" s="986">
        <v>64</v>
      </c>
      <c r="BT31" s="411">
        <f t="shared" si="0"/>
        <v>687194767.36000001</v>
      </c>
      <c r="BU31" s="980">
        <v>8</v>
      </c>
      <c r="BV31" s="980"/>
      <c r="BW31" s="305">
        <f t="shared" si="1"/>
        <v>5497558138.8800001</v>
      </c>
      <c r="BX31" s="978" t="s">
        <v>1144</v>
      </c>
      <c r="BY31" s="305">
        <f t="shared" si="7"/>
        <v>5497558138.8800001</v>
      </c>
      <c r="BZ31" s="691">
        <f t="shared" si="8"/>
        <v>10977936408.576</v>
      </c>
      <c r="CA31" s="893">
        <f t="shared" si="12"/>
        <v>0.125</v>
      </c>
      <c r="CB31" s="995">
        <f t="shared" si="11"/>
        <v>1372242051.072</v>
      </c>
      <c r="CC31" s="305">
        <f t="shared" si="13"/>
        <v>1199277690.2583988</v>
      </c>
      <c r="CD31" s="910">
        <f t="shared" si="9"/>
        <v>0</v>
      </c>
      <c r="CE31" s="981">
        <f t="shared" si="10"/>
        <v>2024</v>
      </c>
      <c r="CF31" s="1000">
        <v>0.125</v>
      </c>
      <c r="CG31" s="1001">
        <f>CB31*CA31</f>
        <v>171530256.384</v>
      </c>
    </row>
    <row r="32" spans="1:85" x14ac:dyDescent="0.3">
      <c r="A32" s="690"/>
      <c r="B32" s="690"/>
      <c r="I32" s="690"/>
      <c r="AU32" s="1150" t="s">
        <v>306</v>
      </c>
      <c r="AV32" s="182">
        <f>E8</f>
        <v>12112981133.848032</v>
      </c>
      <c r="AX32" s="736">
        <f>AV47</f>
        <v>12112981133.848032</v>
      </c>
      <c r="AY32" s="568">
        <f>AX32*AV34</f>
        <v>90946962294.986588</v>
      </c>
      <c r="AZ32" s="208">
        <f>AW49</f>
        <v>0.66163000000000005</v>
      </c>
      <c r="BA32" s="691">
        <f>AY32*AZ32</f>
        <v>60173238663.231979</v>
      </c>
      <c r="BE32" s="473"/>
      <c r="BJ32" s="332" t="s">
        <v>989</v>
      </c>
      <c r="BK32" s="953">
        <f>BK31+1</f>
        <v>2025</v>
      </c>
      <c r="BL32" s="691">
        <f>BL31+BN31</f>
        <v>94343533471349.219</v>
      </c>
      <c r="BM32" s="894">
        <f>BM31</f>
        <v>2.5000000000000001E-2</v>
      </c>
      <c r="BN32" s="691">
        <f t="shared" si="5"/>
        <v>2358588336783.7305</v>
      </c>
      <c r="BP32" s="332" t="s">
        <v>963</v>
      </c>
      <c r="BQ32" s="953">
        <f>BQ31+1</f>
        <v>2025</v>
      </c>
      <c r="BR32" s="691">
        <f>BR20</f>
        <v>10737418.24</v>
      </c>
      <c r="BS32" s="987">
        <v>64</v>
      </c>
      <c r="BT32" s="875">
        <f t="shared" si="0"/>
        <v>687194767.36000001</v>
      </c>
      <c r="BU32" s="977"/>
      <c r="BV32" s="977"/>
      <c r="BW32" s="691">
        <f t="shared" si="1"/>
        <v>0</v>
      </c>
      <c r="BY32" s="691">
        <f t="shared" si="7"/>
        <v>0</v>
      </c>
      <c r="BZ32" s="691">
        <f t="shared" si="8"/>
        <v>10977936408.576</v>
      </c>
      <c r="CA32" s="894">
        <f>CA31</f>
        <v>0.125</v>
      </c>
      <c r="CB32" s="975">
        <f t="shared" si="11"/>
        <v>1372242051.072</v>
      </c>
      <c r="CC32" s="691">
        <f t="shared" si="13"/>
        <v>1199277690.2583988</v>
      </c>
      <c r="CD32" s="183">
        <f t="shared" si="9"/>
        <v>0</v>
      </c>
      <c r="CE32" s="949">
        <f>CE31+1</f>
        <v>2025</v>
      </c>
    </row>
    <row r="33" spans="1:83" x14ac:dyDescent="0.3">
      <c r="I33" s="690"/>
      <c r="J33" s="18"/>
      <c r="K33" s="690"/>
      <c r="AU33" s="122" t="s">
        <v>307</v>
      </c>
      <c r="AV33" s="183">
        <f>AV29+AV5</f>
        <v>90946962294.986588</v>
      </c>
      <c r="AY33" s="248"/>
      <c r="BA33" s="181"/>
      <c r="BE33" s="473"/>
      <c r="BJ33" s="332" t="s">
        <v>989</v>
      </c>
      <c r="BK33" s="953">
        <f t="shared" si="2"/>
        <v>2026</v>
      </c>
      <c r="BL33" s="691">
        <f t="shared" si="3"/>
        <v>96702121808132.953</v>
      </c>
      <c r="BM33" s="894">
        <f t="shared" si="4"/>
        <v>2.5000000000000001E-2</v>
      </c>
      <c r="BN33" s="691">
        <f t="shared" si="5"/>
        <v>2417553045203.3237</v>
      </c>
      <c r="BP33" s="332"/>
      <c r="BQ33" s="953">
        <f t="shared" si="6"/>
        <v>2026</v>
      </c>
      <c r="BR33" s="691">
        <f>BR20</f>
        <v>10737418.24</v>
      </c>
      <c r="BS33" s="987">
        <v>64</v>
      </c>
      <c r="BT33" s="875">
        <f t="shared" si="0"/>
        <v>687194767.36000001</v>
      </c>
      <c r="BU33" s="977"/>
      <c r="BV33" s="977"/>
      <c r="BW33" s="691">
        <f t="shared" si="1"/>
        <v>0</v>
      </c>
      <c r="BY33" s="691">
        <f t="shared" si="7"/>
        <v>0</v>
      </c>
      <c r="BZ33" s="691">
        <f t="shared" si="8"/>
        <v>10977936408.576</v>
      </c>
      <c r="CA33" s="894">
        <f>CA32</f>
        <v>0.125</v>
      </c>
      <c r="CB33" s="975">
        <f t="shared" si="11"/>
        <v>1372242051.072</v>
      </c>
      <c r="CC33" s="691">
        <f t="shared" si="13"/>
        <v>1199277690.2583988</v>
      </c>
      <c r="CD33" s="183">
        <f t="shared" si="9"/>
        <v>0</v>
      </c>
      <c r="CE33" s="949">
        <f t="shared" si="10"/>
        <v>2026</v>
      </c>
    </row>
    <row r="34" spans="1:83" x14ac:dyDescent="0.3">
      <c r="A34" s="690"/>
      <c r="B34" s="690"/>
      <c r="C34" s="900" t="s">
        <v>1036</v>
      </c>
      <c r="D34" s="901" t="s">
        <v>1287</v>
      </c>
      <c r="E34" s="4"/>
      <c r="F34" s="4"/>
      <c r="G34" s="5"/>
      <c r="AU34" s="1150" t="s">
        <v>310</v>
      </c>
      <c r="AV34" s="184">
        <f>AV33/AV32</f>
        <v>7.5082228965789453</v>
      </c>
      <c r="AW34" s="239"/>
      <c r="AX34" s="239" t="s">
        <v>974</v>
      </c>
      <c r="AY34" s="248" t="s">
        <v>1384</v>
      </c>
      <c r="AZ34" s="239"/>
      <c r="BA34" s="181"/>
      <c r="BE34" s="473"/>
      <c r="BJ34" s="332" t="s">
        <v>989</v>
      </c>
      <c r="BK34" s="953">
        <f t="shared" si="2"/>
        <v>2027</v>
      </c>
      <c r="BL34" s="691">
        <f t="shared" si="3"/>
        <v>99119674853336.281</v>
      </c>
      <c r="BM34" s="894">
        <f t="shared" si="4"/>
        <v>2.5000000000000001E-2</v>
      </c>
      <c r="BN34" s="691">
        <f t="shared" si="5"/>
        <v>2477991871333.4072</v>
      </c>
      <c r="BP34" s="76"/>
      <c r="BQ34" s="953">
        <f t="shared" si="6"/>
        <v>2027</v>
      </c>
      <c r="BR34" s="691">
        <f>BR20</f>
        <v>10737418.24</v>
      </c>
      <c r="BS34" s="987">
        <v>64</v>
      </c>
      <c r="BT34" s="875">
        <f t="shared" si="0"/>
        <v>687194767.36000001</v>
      </c>
      <c r="BU34" s="977"/>
      <c r="BV34" s="977"/>
      <c r="BW34" s="691">
        <f t="shared" si="1"/>
        <v>0</v>
      </c>
      <c r="BY34" s="691">
        <f t="shared" si="7"/>
        <v>0</v>
      </c>
      <c r="BZ34" s="691">
        <f t="shared" si="8"/>
        <v>10977936408.576</v>
      </c>
      <c r="CA34" s="894">
        <f t="shared" ref="CA34:CA55" si="14">CA33</f>
        <v>0.125</v>
      </c>
      <c r="CB34" s="975">
        <f t="shared" si="11"/>
        <v>1372242051.072</v>
      </c>
      <c r="CC34" s="691">
        <f t="shared" si="13"/>
        <v>1199277690.2583988</v>
      </c>
      <c r="CD34" s="183">
        <f t="shared" si="9"/>
        <v>0</v>
      </c>
      <c r="CE34" s="949">
        <f t="shared" si="10"/>
        <v>2027</v>
      </c>
    </row>
    <row r="35" spans="1:83" x14ac:dyDescent="0.3">
      <c r="A35" s="690"/>
      <c r="B35" s="690"/>
      <c r="C35" s="122" t="s">
        <v>732</v>
      </c>
      <c r="D35" s="287" t="s">
        <v>1288</v>
      </c>
      <c r="E35" s="7" t="s">
        <v>1289</v>
      </c>
      <c r="F35" s="7"/>
      <c r="G35" s="8"/>
      <c r="AT35" s="38"/>
      <c r="AU35" s="1150" t="s">
        <v>785</v>
      </c>
      <c r="AV35" s="472"/>
      <c r="AW35" s="473"/>
      <c r="AX35" s="472"/>
      <c r="AY35" s="472">
        <f>AX35-AV35</f>
        <v>0</v>
      </c>
      <c r="AZ35" s="473"/>
      <c r="BA35" s="563"/>
      <c r="BB35" s="473"/>
      <c r="BC35" s="473"/>
      <c r="BD35" s="473"/>
      <c r="BE35" s="473"/>
      <c r="BF35" s="88"/>
      <c r="BG35" s="88"/>
      <c r="BH35" s="88"/>
      <c r="BI35" s="88"/>
      <c r="BJ35" s="332" t="s">
        <v>989</v>
      </c>
      <c r="BK35" s="953">
        <f t="shared" si="2"/>
        <v>2028</v>
      </c>
      <c r="BL35" s="691">
        <f t="shared" si="3"/>
        <v>101597666724669.69</v>
      </c>
      <c r="BM35" s="894">
        <f t="shared" si="4"/>
        <v>2.5000000000000001E-2</v>
      </c>
      <c r="BN35" s="691">
        <f t="shared" si="5"/>
        <v>2539941668116.7422</v>
      </c>
      <c r="BP35" s="76"/>
      <c r="BQ35" s="953">
        <f t="shared" si="6"/>
        <v>2028</v>
      </c>
      <c r="BR35" s="691">
        <f>BR20</f>
        <v>10737418.24</v>
      </c>
      <c r="BS35" s="987">
        <v>64</v>
      </c>
      <c r="BT35" s="875">
        <f t="shared" si="0"/>
        <v>687194767.36000001</v>
      </c>
      <c r="BU35" s="977"/>
      <c r="BV35" s="977"/>
      <c r="BW35" s="691">
        <f t="shared" si="1"/>
        <v>0</v>
      </c>
      <c r="BY35" s="691">
        <f t="shared" si="7"/>
        <v>0</v>
      </c>
      <c r="BZ35" s="691">
        <f t="shared" si="8"/>
        <v>10977936408.576</v>
      </c>
      <c r="CA35" s="894">
        <f t="shared" si="14"/>
        <v>0.125</v>
      </c>
      <c r="CB35" s="975">
        <f t="shared" si="11"/>
        <v>1372242051.072</v>
      </c>
      <c r="CC35" s="691">
        <f t="shared" si="13"/>
        <v>1199277690.2583988</v>
      </c>
      <c r="CD35" s="183">
        <f t="shared" si="9"/>
        <v>0</v>
      </c>
      <c r="CE35" s="949">
        <f t="shared" si="10"/>
        <v>2028</v>
      </c>
    </row>
    <row r="36" spans="1:83" x14ac:dyDescent="0.3">
      <c r="A36" s="690"/>
      <c r="B36" s="690"/>
      <c r="C36" s="1151">
        <v>32</v>
      </c>
      <c r="D36" s="411">
        <f>'POP Dimensions'!J15</f>
        <v>21474836.48</v>
      </c>
      <c r="E36" s="411">
        <f>C36*D36</f>
        <v>687194767.36000001</v>
      </c>
      <c r="F36" s="896"/>
      <c r="G36" s="902" t="s">
        <v>732</v>
      </c>
      <c r="AT36" s="38"/>
      <c r="AU36" s="1206" t="s">
        <v>1445</v>
      </c>
      <c r="AV36" s="1207">
        <f>'POP Dimensions'!L16*125%</f>
        <v>429496729.60000002</v>
      </c>
      <c r="AW36" s="88"/>
      <c r="AX36" s="511"/>
      <c r="AY36" s="511"/>
      <c r="AZ36" s="88"/>
      <c r="BA36" s="181"/>
      <c r="BB36" s="88"/>
      <c r="BC36" s="88"/>
      <c r="BD36" s="616">
        <f>BA47*BF47</f>
        <v>91355910211.6465</v>
      </c>
      <c r="BE36" s="617" t="s">
        <v>778</v>
      </c>
      <c r="BF36" s="88"/>
      <c r="BG36" s="88"/>
      <c r="BH36" s="88"/>
      <c r="BI36" s="88"/>
      <c r="BJ36" s="332" t="s">
        <v>989</v>
      </c>
      <c r="BK36" s="953">
        <f>BK35+1</f>
        <v>2029</v>
      </c>
      <c r="BL36" s="691">
        <f>BL35+BN35</f>
        <v>104137608392786.44</v>
      </c>
      <c r="BM36" s="894">
        <f>BM35</f>
        <v>2.5000000000000001E-2</v>
      </c>
      <c r="BN36" s="691">
        <f>BL36*BM36</f>
        <v>2603440209819.6611</v>
      </c>
      <c r="BP36" s="76"/>
      <c r="BQ36" s="953">
        <f>BQ35+1</f>
        <v>2029</v>
      </c>
      <c r="BR36" s="691">
        <f>BR20</f>
        <v>10737418.24</v>
      </c>
      <c r="BS36" s="987">
        <v>64</v>
      </c>
      <c r="BT36" s="875">
        <f>BS36*BR36</f>
        <v>687194767.36000001</v>
      </c>
      <c r="BU36" s="977"/>
      <c r="BV36" s="977"/>
      <c r="BW36" s="691">
        <f>BT36*BU36</f>
        <v>0</v>
      </c>
      <c r="BY36" s="691">
        <f t="shared" si="7"/>
        <v>0</v>
      </c>
      <c r="BZ36" s="691">
        <f>BY36+BZ35-CD36</f>
        <v>10977936408.576</v>
      </c>
      <c r="CA36" s="894">
        <f t="shared" si="14"/>
        <v>0.125</v>
      </c>
      <c r="CB36" s="975">
        <f t="shared" si="11"/>
        <v>1372242051.072</v>
      </c>
      <c r="CC36" s="691">
        <f t="shared" si="13"/>
        <v>1199277690.2583988</v>
      </c>
      <c r="CD36" s="183">
        <f>BT36*BV36</f>
        <v>0</v>
      </c>
      <c r="CE36" s="949">
        <f t="shared" si="10"/>
        <v>2029</v>
      </c>
    </row>
    <row r="37" spans="1:83" x14ac:dyDescent="0.3">
      <c r="A37" s="690"/>
      <c r="B37" s="690"/>
      <c r="C37" s="1152">
        <f>C36*2</f>
        <v>64</v>
      </c>
      <c r="D37" s="897">
        <f>D36</f>
        <v>21474836.48</v>
      </c>
      <c r="E37" s="897">
        <f t="shared" ref="E37:E43" si="15">C37*D37</f>
        <v>1374389534.72</v>
      </c>
      <c r="F37" s="874"/>
      <c r="G37" s="903" t="s">
        <v>732</v>
      </c>
      <c r="AT37" s="38"/>
      <c r="AU37" s="1206" t="s">
        <v>1444</v>
      </c>
      <c r="AV37" s="1207">
        <f>'POP Dimensions'!H17*125%</f>
        <v>858993459.20000005</v>
      </c>
      <c r="AW37" s="88"/>
      <c r="AX37" s="511"/>
      <c r="AY37" s="511"/>
      <c r="AZ37" s="88"/>
      <c r="BA37" s="181"/>
      <c r="BB37" s="88"/>
      <c r="BC37" s="88"/>
      <c r="BD37" s="616"/>
      <c r="BE37" s="617"/>
      <c r="BF37" s="88"/>
      <c r="BG37" s="88"/>
      <c r="BH37" s="88"/>
      <c r="BI37" s="88"/>
      <c r="BJ37" s="332" t="s">
        <v>989</v>
      </c>
      <c r="BK37" s="953">
        <f>BK36+1</f>
        <v>2030</v>
      </c>
      <c r="BL37" s="691">
        <f>BL36+BN36</f>
        <v>106741048602606.09</v>
      </c>
      <c r="BM37" s="894">
        <f>BM36</f>
        <v>2.5000000000000001E-2</v>
      </c>
      <c r="BN37" s="691">
        <f>BL37*BM37</f>
        <v>2668526215065.1523</v>
      </c>
      <c r="BP37" s="76"/>
      <c r="BQ37" s="953">
        <f>BQ36+1</f>
        <v>2030</v>
      </c>
      <c r="BR37" s="691">
        <f>BR20</f>
        <v>10737418.24</v>
      </c>
      <c r="BS37" s="987">
        <v>64</v>
      </c>
      <c r="BT37" s="875">
        <f t="shared" ref="BT37:BT55" si="16">BS37*BR37</f>
        <v>687194767.36000001</v>
      </c>
      <c r="BU37" s="977"/>
      <c r="BV37" s="977"/>
      <c r="BW37" s="691">
        <f t="shared" ref="BW37:BW55" si="17">BT37*BU37</f>
        <v>0</v>
      </c>
      <c r="BY37" s="691">
        <f t="shared" si="7"/>
        <v>0</v>
      </c>
      <c r="BZ37" s="691">
        <f>BY37+BZ36-CD37</f>
        <v>10977936408.576</v>
      </c>
      <c r="CA37" s="894">
        <f t="shared" si="14"/>
        <v>0.125</v>
      </c>
      <c r="CB37" s="975">
        <f t="shared" si="11"/>
        <v>1372242051.072</v>
      </c>
      <c r="CC37" s="691">
        <f t="shared" si="13"/>
        <v>1199277690.2583988</v>
      </c>
      <c r="CD37" s="183">
        <f>BT37*BV37</f>
        <v>0</v>
      </c>
      <c r="CE37" s="949">
        <f t="shared" si="10"/>
        <v>2030</v>
      </c>
    </row>
    <row r="38" spans="1:83" x14ac:dyDescent="0.3">
      <c r="A38" s="690"/>
      <c r="B38" s="690"/>
      <c r="C38" s="1121">
        <f>C37*2</f>
        <v>128</v>
      </c>
      <c r="D38" s="875">
        <f t="shared" ref="D38:D43" si="18">D37</f>
        <v>21474836.48</v>
      </c>
      <c r="E38" s="875">
        <f t="shared" si="15"/>
        <v>2748779069.4400001</v>
      </c>
      <c r="F38" s="410"/>
      <c r="G38" s="126" t="s">
        <v>732</v>
      </c>
      <c r="AQ38" s="1162" t="s">
        <v>1435</v>
      </c>
      <c r="AR38" s="1160"/>
      <c r="AS38" s="1160"/>
      <c r="AT38" s="1160"/>
      <c r="AU38" s="1161" t="s">
        <v>1284</v>
      </c>
      <c r="AV38" s="1164">
        <f>'POP Dimensions'!L16*125%</f>
        <v>429496729.60000002</v>
      </c>
      <c r="AW38" s="88"/>
      <c r="AX38" s="88"/>
      <c r="AY38" s="253"/>
      <c r="AZ38" s="88"/>
      <c r="BA38" s="181"/>
      <c r="BJ38" s="332" t="s">
        <v>989</v>
      </c>
      <c r="BK38" s="953">
        <f>BK37+1</f>
        <v>2031</v>
      </c>
      <c r="BL38" s="691">
        <f>BL37+BN37</f>
        <v>109409574817671.25</v>
      </c>
      <c r="BM38" s="894">
        <f>BM37</f>
        <v>2.5000000000000001E-2</v>
      </c>
      <c r="BN38" s="691">
        <f>BL38*BM38</f>
        <v>2735239370441.7813</v>
      </c>
      <c r="BP38" s="76"/>
      <c r="BQ38" s="953">
        <f t="shared" ref="BQ38:BQ55" si="19">BQ37+1</f>
        <v>2031</v>
      </c>
      <c r="BR38" s="691">
        <f>BR20</f>
        <v>10737418.24</v>
      </c>
      <c r="BS38" s="987">
        <v>64</v>
      </c>
      <c r="BT38" s="875">
        <f t="shared" si="16"/>
        <v>687194767.36000001</v>
      </c>
      <c r="BU38" s="977"/>
      <c r="BV38" s="977"/>
      <c r="BW38" s="691">
        <f t="shared" si="17"/>
        <v>0</v>
      </c>
      <c r="BY38" s="691">
        <f t="shared" si="7"/>
        <v>0</v>
      </c>
      <c r="BZ38" s="691">
        <f t="shared" ref="BZ38:BZ55" si="20">BY38+BZ37-CD38</f>
        <v>10977936408.576</v>
      </c>
      <c r="CA38" s="894">
        <f t="shared" si="14"/>
        <v>0.125</v>
      </c>
      <c r="CB38" s="975">
        <f t="shared" si="11"/>
        <v>1372242051.072</v>
      </c>
      <c r="CC38" s="691">
        <f t="shared" si="13"/>
        <v>1199277690.2583988</v>
      </c>
      <c r="CD38" s="183">
        <f t="shared" ref="CD38:CD55" si="21">BT38*BV38</f>
        <v>0</v>
      </c>
      <c r="CE38" s="949">
        <f t="shared" si="10"/>
        <v>2031</v>
      </c>
    </row>
    <row r="39" spans="1:83" x14ac:dyDescent="0.3">
      <c r="A39" s="690"/>
      <c r="B39" s="690"/>
      <c r="C39" s="1151">
        <f>C38*2</f>
        <v>256</v>
      </c>
      <c r="D39" s="411">
        <f t="shared" si="18"/>
        <v>21474836.48</v>
      </c>
      <c r="E39" s="411">
        <f t="shared" si="15"/>
        <v>5497558138.8800001</v>
      </c>
      <c r="F39" s="896"/>
      <c r="G39" s="902" t="s">
        <v>732</v>
      </c>
      <c r="AQ39" s="1163" t="s">
        <v>1436</v>
      </c>
      <c r="AU39" s="1155" t="s">
        <v>1279</v>
      </c>
      <c r="AV39" s="1164">
        <v>-3000000000</v>
      </c>
      <c r="AW39" s="208">
        <v>0.05</v>
      </c>
      <c r="AX39" s="76">
        <f>AV49*AW39</f>
        <v>3008661933.1615992</v>
      </c>
      <c r="AY39" s="253" t="s">
        <v>1465</v>
      </c>
      <c r="AZ39" s="88"/>
      <c r="BA39" s="181"/>
      <c r="BD39" s="616"/>
      <c r="BE39" s="617"/>
      <c r="BJ39" s="332" t="s">
        <v>989</v>
      </c>
      <c r="BK39" s="953">
        <f>BK38+1</f>
        <v>2032</v>
      </c>
      <c r="BL39" s="691">
        <f>BL38+BN38</f>
        <v>112144814188113.03</v>
      </c>
      <c r="BM39" s="894">
        <f>BM38</f>
        <v>2.5000000000000001E-2</v>
      </c>
      <c r="BN39" s="691">
        <f>BL39*BM39</f>
        <v>2803620354702.8262</v>
      </c>
      <c r="BO39" s="895" t="s">
        <v>1281</v>
      </c>
      <c r="BP39" s="76"/>
      <c r="BQ39" s="953">
        <f t="shared" si="19"/>
        <v>2032</v>
      </c>
      <c r="BR39" s="691">
        <f t="shared" ref="BR39:BR55" si="22">BR29</f>
        <v>10737418.24</v>
      </c>
      <c r="BS39" s="987">
        <v>64</v>
      </c>
      <c r="BT39" s="875">
        <f t="shared" si="16"/>
        <v>687194767.36000001</v>
      </c>
      <c r="BU39" s="977"/>
      <c r="BV39" s="977"/>
      <c r="BW39" s="691">
        <f t="shared" si="17"/>
        <v>0</v>
      </c>
      <c r="BY39" s="691">
        <f t="shared" si="7"/>
        <v>0</v>
      </c>
      <c r="BZ39" s="691">
        <f t="shared" si="20"/>
        <v>10977936408.576</v>
      </c>
      <c r="CA39" s="894">
        <f t="shared" si="14"/>
        <v>0.125</v>
      </c>
      <c r="CB39" s="975">
        <f t="shared" si="11"/>
        <v>1372242051.072</v>
      </c>
      <c r="CC39" s="691">
        <f t="shared" si="13"/>
        <v>1199277690.2583988</v>
      </c>
      <c r="CD39" s="183">
        <f t="shared" si="21"/>
        <v>0</v>
      </c>
      <c r="CE39" s="949">
        <f t="shared" si="10"/>
        <v>2032</v>
      </c>
    </row>
    <row r="40" spans="1:83" x14ac:dyDescent="0.3">
      <c r="A40" s="690"/>
      <c r="B40" s="690"/>
      <c r="C40" s="1152">
        <f t="shared" ref="C40:C43" si="23">C39*2</f>
        <v>512</v>
      </c>
      <c r="D40" s="897">
        <f t="shared" si="18"/>
        <v>21474836.48</v>
      </c>
      <c r="E40" s="897">
        <f t="shared" si="15"/>
        <v>10995116277.76</v>
      </c>
      <c r="F40" s="874"/>
      <c r="G40" s="903" t="s">
        <v>732</v>
      </c>
      <c r="AU40" s="1156" t="s">
        <v>1277</v>
      </c>
      <c r="AV40" s="1164">
        <f>'POP Dimensions'!J17</f>
        <v>1374389534.72</v>
      </c>
      <c r="AW40" s="88"/>
      <c r="AX40" s="253"/>
      <c r="AY40" s="253"/>
      <c r="AZ40" s="253"/>
      <c r="BA40" s="181"/>
      <c r="BD40" s="616"/>
      <c r="BE40" s="617"/>
      <c r="BJ40" s="332" t="s">
        <v>989</v>
      </c>
      <c r="BK40" s="953">
        <f t="shared" ref="BK40:BK55" si="24">BK39+1</f>
        <v>2033</v>
      </c>
      <c r="BL40" s="691">
        <f t="shared" ref="BL40:BL55" si="25">BL39+BN39</f>
        <v>114948434542815.86</v>
      </c>
      <c r="BM40" s="894">
        <f t="shared" ref="BM40:BM55" si="26">BM39</f>
        <v>2.5000000000000001E-2</v>
      </c>
      <c r="BN40" s="691">
        <f t="shared" ref="BN40:BN55" si="27">BL40*BM40</f>
        <v>2873710863570.3965</v>
      </c>
      <c r="BP40" s="76"/>
      <c r="BQ40" s="953">
        <f t="shared" si="19"/>
        <v>2033</v>
      </c>
      <c r="BR40" s="691">
        <f t="shared" si="22"/>
        <v>10737418.24</v>
      </c>
      <c r="BS40" s="987">
        <v>64</v>
      </c>
      <c r="BT40" s="875">
        <f t="shared" si="16"/>
        <v>687194767.36000001</v>
      </c>
      <c r="BU40" s="969"/>
      <c r="BV40" s="977"/>
      <c r="BW40" s="691">
        <f t="shared" si="17"/>
        <v>0</v>
      </c>
      <c r="BY40" s="691">
        <f t="shared" si="7"/>
        <v>0</v>
      </c>
      <c r="BZ40" s="691">
        <f t="shared" si="20"/>
        <v>10977936408.576</v>
      </c>
      <c r="CA40" s="894">
        <f t="shared" si="14"/>
        <v>0.125</v>
      </c>
      <c r="CB40" s="975">
        <f t="shared" si="11"/>
        <v>1372242051.072</v>
      </c>
      <c r="CC40" s="691">
        <f t="shared" si="13"/>
        <v>1199277690.2583988</v>
      </c>
      <c r="CD40" s="183">
        <f t="shared" si="21"/>
        <v>0</v>
      </c>
      <c r="CE40" s="949">
        <f t="shared" si="10"/>
        <v>2033</v>
      </c>
    </row>
    <row r="41" spans="1:83" x14ac:dyDescent="0.3">
      <c r="A41" s="690"/>
      <c r="B41" s="690"/>
      <c r="C41" s="1121">
        <f t="shared" si="23"/>
        <v>1024</v>
      </c>
      <c r="D41" s="875">
        <f t="shared" si="18"/>
        <v>21474836.48</v>
      </c>
      <c r="E41" s="875">
        <f t="shared" si="15"/>
        <v>21990232555.52</v>
      </c>
      <c r="F41" s="410"/>
      <c r="G41" s="126" t="s">
        <v>732</v>
      </c>
      <c r="AS41" s="173" t="s">
        <v>1433</v>
      </c>
      <c r="AT41" s="1158"/>
      <c r="AU41" s="1159" t="s">
        <v>1285</v>
      </c>
      <c r="AV41" s="719">
        <f>'POP Dimensions'!H17*125%</f>
        <v>858993459.20000005</v>
      </c>
      <c r="AW41" s="88"/>
      <c r="AX41" s="253"/>
      <c r="AY41" s="253"/>
      <c r="AZ41" s="1215"/>
      <c r="BA41" s="181"/>
      <c r="BD41" s="12" t="s">
        <v>979</v>
      </c>
      <c r="BJ41" s="332" t="s">
        <v>989</v>
      </c>
      <c r="BK41" s="953">
        <f t="shared" si="24"/>
        <v>2034</v>
      </c>
      <c r="BL41" s="691">
        <f t="shared" si="25"/>
        <v>117822145406386.25</v>
      </c>
      <c r="BM41" s="894">
        <f t="shared" si="26"/>
        <v>2.5000000000000001E-2</v>
      </c>
      <c r="BN41" s="691">
        <f t="shared" si="27"/>
        <v>2945553635159.6563</v>
      </c>
      <c r="BP41" s="76"/>
      <c r="BQ41" s="953">
        <f t="shared" si="19"/>
        <v>2034</v>
      </c>
      <c r="BR41" s="691">
        <f t="shared" si="22"/>
        <v>10737418.24</v>
      </c>
      <c r="BS41" s="987">
        <v>64</v>
      </c>
      <c r="BT41" s="875">
        <f t="shared" si="16"/>
        <v>687194767.36000001</v>
      </c>
      <c r="BU41" s="969"/>
      <c r="BV41" s="977"/>
      <c r="BW41" s="691">
        <f t="shared" si="17"/>
        <v>0</v>
      </c>
      <c r="BY41" s="691">
        <f t="shared" si="7"/>
        <v>0</v>
      </c>
      <c r="BZ41" s="691">
        <f t="shared" si="20"/>
        <v>10977936408.576</v>
      </c>
      <c r="CA41" s="894">
        <f t="shared" si="14"/>
        <v>0.125</v>
      </c>
      <c r="CB41" s="975">
        <f t="shared" si="11"/>
        <v>1372242051.072</v>
      </c>
      <c r="CC41" s="691">
        <f t="shared" si="13"/>
        <v>1199277690.2583988</v>
      </c>
      <c r="CD41" s="183">
        <f t="shared" si="21"/>
        <v>0</v>
      </c>
      <c r="CE41" s="949">
        <f t="shared" si="10"/>
        <v>2034</v>
      </c>
    </row>
    <row r="42" spans="1:83" x14ac:dyDescent="0.3">
      <c r="A42" s="690"/>
      <c r="B42" s="690"/>
      <c r="C42" s="1153">
        <f t="shared" si="23"/>
        <v>2048</v>
      </c>
      <c r="D42" s="899">
        <f t="shared" si="18"/>
        <v>21474836.48</v>
      </c>
      <c r="E42" s="899">
        <f t="shared" si="15"/>
        <v>43980465111.040001</v>
      </c>
      <c r="F42" s="898"/>
      <c r="G42" s="905" t="s">
        <v>732</v>
      </c>
      <c r="AS42" s="618" t="s">
        <v>1434</v>
      </c>
      <c r="AU42" s="1155" t="s">
        <v>1278</v>
      </c>
      <c r="AV42" s="1164">
        <f>'Network Cities'!S37*2</f>
        <v>5887500001</v>
      </c>
      <c r="AW42" s="88"/>
      <c r="AX42" s="253"/>
      <c r="AY42" s="253"/>
      <c r="AZ42" s="1215"/>
      <c r="BA42" s="181"/>
      <c r="BD42" s="12"/>
      <c r="BJ42" s="332" t="s">
        <v>989</v>
      </c>
      <c r="BK42" s="953">
        <f t="shared" si="24"/>
        <v>2035</v>
      </c>
      <c r="BL42" s="691">
        <f t="shared" si="25"/>
        <v>120767699041545.91</v>
      </c>
      <c r="BM42" s="894">
        <f t="shared" si="26"/>
        <v>2.5000000000000001E-2</v>
      </c>
      <c r="BN42" s="691">
        <f t="shared" si="27"/>
        <v>3019192476038.6479</v>
      </c>
      <c r="BP42" s="76"/>
      <c r="BQ42" s="953">
        <f t="shared" si="19"/>
        <v>2035</v>
      </c>
      <c r="BR42" s="691">
        <f t="shared" si="22"/>
        <v>10737418.24</v>
      </c>
      <c r="BS42" s="987">
        <v>64</v>
      </c>
      <c r="BT42" s="875">
        <f t="shared" si="16"/>
        <v>687194767.36000001</v>
      </c>
      <c r="BU42" s="969"/>
      <c r="BV42" s="977"/>
      <c r="BW42" s="691">
        <f t="shared" si="17"/>
        <v>0</v>
      </c>
      <c r="BY42" s="691">
        <f t="shared" si="7"/>
        <v>0</v>
      </c>
      <c r="BZ42" s="691">
        <f t="shared" si="20"/>
        <v>10977936408.576</v>
      </c>
      <c r="CA42" s="894">
        <f t="shared" si="14"/>
        <v>0.125</v>
      </c>
      <c r="CB42" s="975">
        <f t="shared" si="11"/>
        <v>1372242051.072</v>
      </c>
      <c r="CC42" s="691">
        <f t="shared" si="13"/>
        <v>1199277690.2583988</v>
      </c>
      <c r="CD42" s="183">
        <f t="shared" si="21"/>
        <v>0</v>
      </c>
      <c r="CE42" s="949">
        <f t="shared" si="10"/>
        <v>2035</v>
      </c>
    </row>
    <row r="43" spans="1:83" x14ac:dyDescent="0.3">
      <c r="A43" s="690"/>
      <c r="B43" s="690"/>
      <c r="C43" s="1154">
        <f t="shared" si="23"/>
        <v>4096</v>
      </c>
      <c r="D43" s="906">
        <f t="shared" si="18"/>
        <v>21474836.48</v>
      </c>
      <c r="E43" s="906">
        <f t="shared" si="15"/>
        <v>87960930222.080002</v>
      </c>
      <c r="F43" s="907"/>
      <c r="G43" s="908" t="s">
        <v>732</v>
      </c>
      <c r="AU43" s="1155" t="s">
        <v>1161</v>
      </c>
      <c r="AV43" s="1164">
        <f>'POP Dimensions'!H17*150%</f>
        <v>1030792151.04</v>
      </c>
      <c r="AW43" s="88"/>
      <c r="AX43" s="600"/>
      <c r="AY43" s="253"/>
      <c r="AZ43" s="253"/>
      <c r="BA43" s="181"/>
      <c r="BD43" s="12"/>
      <c r="BJ43" s="332" t="s">
        <v>989</v>
      </c>
      <c r="BK43" s="953">
        <f t="shared" si="24"/>
        <v>2036</v>
      </c>
      <c r="BL43" s="691">
        <f t="shared" si="25"/>
        <v>123786891517584.55</v>
      </c>
      <c r="BM43" s="894">
        <f t="shared" si="26"/>
        <v>2.5000000000000001E-2</v>
      </c>
      <c r="BN43" s="691">
        <f t="shared" si="27"/>
        <v>3094672287939.6138</v>
      </c>
      <c r="BP43" s="76"/>
      <c r="BQ43" s="953">
        <f t="shared" si="19"/>
        <v>2036</v>
      </c>
      <c r="BR43" s="691">
        <f t="shared" si="22"/>
        <v>10737418.24</v>
      </c>
      <c r="BS43" s="987">
        <v>64</v>
      </c>
      <c r="BT43" s="875">
        <f t="shared" si="16"/>
        <v>687194767.36000001</v>
      </c>
      <c r="BU43" s="969"/>
      <c r="BV43" s="977"/>
      <c r="BW43" s="691">
        <f t="shared" si="17"/>
        <v>0</v>
      </c>
      <c r="BY43" s="691">
        <f t="shared" si="7"/>
        <v>0</v>
      </c>
      <c r="BZ43" s="691">
        <f t="shared" si="20"/>
        <v>10977936408.576</v>
      </c>
      <c r="CA43" s="894">
        <f t="shared" si="14"/>
        <v>0.125</v>
      </c>
      <c r="CB43" s="975">
        <f t="shared" si="11"/>
        <v>1372242051.072</v>
      </c>
      <c r="CC43" s="691">
        <f t="shared" si="13"/>
        <v>1199277690.2583988</v>
      </c>
      <c r="CD43" s="183">
        <f t="shared" si="21"/>
        <v>0</v>
      </c>
      <c r="CE43" s="949">
        <f t="shared" si="10"/>
        <v>2036</v>
      </c>
    </row>
    <row r="44" spans="1:83" x14ac:dyDescent="0.3">
      <c r="A44" s="690"/>
      <c r="B44" s="690"/>
      <c r="AS44" s="1162" t="s">
        <v>1433</v>
      </c>
      <c r="AT44" s="1160"/>
      <c r="AU44" s="1161" t="s">
        <v>1249</v>
      </c>
      <c r="AV44" s="1164">
        <f>'POP Dimensions'!J17*12.5%</f>
        <v>171798691.84</v>
      </c>
      <c r="AW44" s="88"/>
      <c r="AX44" s="253"/>
      <c r="AY44" s="254"/>
      <c r="AZ44" s="253"/>
      <c r="BA44" s="181"/>
      <c r="BD44" s="12"/>
      <c r="BJ44" s="332" t="s">
        <v>989</v>
      </c>
      <c r="BK44" s="953">
        <f t="shared" si="24"/>
        <v>2037</v>
      </c>
      <c r="BL44" s="691">
        <f t="shared" si="25"/>
        <v>126881563805524.16</v>
      </c>
      <c r="BM44" s="894">
        <f t="shared" si="26"/>
        <v>2.5000000000000001E-2</v>
      </c>
      <c r="BN44" s="691">
        <f t="shared" si="27"/>
        <v>3172039095138.104</v>
      </c>
      <c r="BP44" s="76"/>
      <c r="BQ44" s="953">
        <f t="shared" si="19"/>
        <v>2037</v>
      </c>
      <c r="BR44" s="691">
        <f t="shared" si="22"/>
        <v>10737418.24</v>
      </c>
      <c r="BS44" s="987">
        <v>64</v>
      </c>
      <c r="BT44" s="875">
        <f t="shared" si="16"/>
        <v>687194767.36000001</v>
      </c>
      <c r="BU44" s="969"/>
      <c r="BV44" s="977"/>
      <c r="BW44" s="691">
        <f t="shared" si="17"/>
        <v>0</v>
      </c>
      <c r="BY44" s="691">
        <f t="shared" si="7"/>
        <v>0</v>
      </c>
      <c r="BZ44" s="691">
        <f t="shared" si="20"/>
        <v>10977936408.576</v>
      </c>
      <c r="CA44" s="894">
        <f t="shared" si="14"/>
        <v>0.125</v>
      </c>
      <c r="CB44" s="975">
        <f t="shared" si="11"/>
        <v>1372242051.072</v>
      </c>
      <c r="CC44" s="691">
        <f t="shared" si="13"/>
        <v>1199277690.2583988</v>
      </c>
      <c r="CD44" s="183">
        <f t="shared" si="21"/>
        <v>0</v>
      </c>
      <c r="CE44" s="949">
        <f t="shared" si="10"/>
        <v>2037</v>
      </c>
    </row>
    <row r="45" spans="1:83" x14ac:dyDescent="0.3">
      <c r="A45" s="690"/>
      <c r="B45" s="690"/>
      <c r="AS45" s="1163" t="s">
        <v>1437</v>
      </c>
      <c r="AU45" s="1157" t="s">
        <v>148</v>
      </c>
      <c r="AV45" s="1164">
        <v>0</v>
      </c>
      <c r="AW45" s="88"/>
      <c r="AX45" s="254"/>
      <c r="AY45" s="254"/>
      <c r="AZ45" s="253"/>
      <c r="BA45" s="181"/>
      <c r="BD45" s="12"/>
      <c r="BJ45" s="332" t="s">
        <v>989</v>
      </c>
      <c r="BK45" s="953">
        <f t="shared" si="24"/>
        <v>2038</v>
      </c>
      <c r="BL45" s="691">
        <f t="shared" si="25"/>
        <v>130053602900662.27</v>
      </c>
      <c r="BM45" s="894">
        <f t="shared" si="26"/>
        <v>2.5000000000000001E-2</v>
      </c>
      <c r="BN45" s="691">
        <f t="shared" si="27"/>
        <v>3251340072516.5566</v>
      </c>
      <c r="BP45" s="76"/>
      <c r="BQ45" s="953">
        <f t="shared" si="19"/>
        <v>2038</v>
      </c>
      <c r="BR45" s="691">
        <f t="shared" si="22"/>
        <v>10737418.24</v>
      </c>
      <c r="BS45" s="987">
        <v>64</v>
      </c>
      <c r="BT45" s="875">
        <f t="shared" si="16"/>
        <v>687194767.36000001</v>
      </c>
      <c r="BU45" s="969"/>
      <c r="BV45" s="977"/>
      <c r="BW45" s="691">
        <f t="shared" si="17"/>
        <v>0</v>
      </c>
      <c r="BY45" s="691">
        <f t="shared" si="7"/>
        <v>0</v>
      </c>
      <c r="BZ45" s="691">
        <f t="shared" si="20"/>
        <v>10977936408.576</v>
      </c>
      <c r="CA45" s="894">
        <f t="shared" si="14"/>
        <v>0.125</v>
      </c>
      <c r="CB45" s="975">
        <f t="shared" si="11"/>
        <v>1372242051.072</v>
      </c>
      <c r="CC45" s="691">
        <f t="shared" si="13"/>
        <v>1199277690.2583988</v>
      </c>
      <c r="CD45" s="183">
        <f t="shared" si="21"/>
        <v>0</v>
      </c>
      <c r="CE45" s="949">
        <f t="shared" si="10"/>
        <v>2038</v>
      </c>
    </row>
    <row r="46" spans="1:83" x14ac:dyDescent="0.3">
      <c r="A46" s="690"/>
      <c r="B46" s="690"/>
      <c r="AU46" s="1150" t="s">
        <v>948</v>
      </c>
      <c r="AV46" s="1216">
        <f>'2028 - ŔÉŚ 5 Śpin 10'!BB29</f>
        <v>4071520377.6480322</v>
      </c>
      <c r="AW46" s="88"/>
      <c r="AX46" s="253"/>
      <c r="AY46" s="253"/>
      <c r="AZ46" s="253"/>
      <c r="BA46" s="181" t="s">
        <v>805</v>
      </c>
      <c r="BB46" s="1" t="s">
        <v>998</v>
      </c>
      <c r="BD46" s="19">
        <v>0.01</v>
      </c>
      <c r="BJ46" s="332" t="s">
        <v>989</v>
      </c>
      <c r="BK46" s="953">
        <f t="shared" si="24"/>
        <v>2039</v>
      </c>
      <c r="BL46" s="691">
        <f t="shared" si="25"/>
        <v>133304942973178.83</v>
      </c>
      <c r="BM46" s="894">
        <f t="shared" si="26"/>
        <v>2.5000000000000001E-2</v>
      </c>
      <c r="BN46" s="691">
        <f t="shared" si="27"/>
        <v>3332623574329.4707</v>
      </c>
      <c r="BP46" s="76"/>
      <c r="BQ46" s="953">
        <f t="shared" si="19"/>
        <v>2039</v>
      </c>
      <c r="BR46" s="691">
        <f t="shared" si="22"/>
        <v>10737418.24</v>
      </c>
      <c r="BS46" s="987">
        <v>64</v>
      </c>
      <c r="BT46" s="875">
        <f t="shared" si="16"/>
        <v>687194767.36000001</v>
      </c>
      <c r="BU46" s="969"/>
      <c r="BV46" s="977"/>
      <c r="BW46" s="691">
        <f t="shared" si="17"/>
        <v>0</v>
      </c>
      <c r="BY46" s="691">
        <f t="shared" si="7"/>
        <v>0</v>
      </c>
      <c r="BZ46" s="691">
        <f t="shared" si="20"/>
        <v>10977936408.576</v>
      </c>
      <c r="CA46" s="894">
        <f t="shared" si="14"/>
        <v>0.125</v>
      </c>
      <c r="CB46" s="975">
        <f t="shared" si="11"/>
        <v>1372242051.072</v>
      </c>
      <c r="CC46" s="691">
        <f t="shared" si="13"/>
        <v>1199277690.2583988</v>
      </c>
      <c r="CD46" s="183">
        <f t="shared" si="21"/>
        <v>0</v>
      </c>
      <c r="CE46" s="949">
        <f t="shared" si="10"/>
        <v>2039</v>
      </c>
    </row>
    <row r="47" spans="1:83" x14ac:dyDescent="0.3">
      <c r="K47" s="690"/>
      <c r="AU47" s="122" t="s">
        <v>1385</v>
      </c>
      <c r="AV47" s="183">
        <f>SUM(AV35:AV46)</f>
        <v>12112981133.848032</v>
      </c>
      <c r="AW47" s="251"/>
      <c r="AX47" s="76" t="s">
        <v>805</v>
      </c>
      <c r="AY47" s="691">
        <f>AE82</f>
        <v>6630548568.2489748</v>
      </c>
      <c r="AZ47" s="76"/>
      <c r="BA47" s="691">
        <f>AY47</f>
        <v>6630548568.2489748</v>
      </c>
      <c r="BB47" s="691">
        <f>BL31</f>
        <v>92042471679365.094</v>
      </c>
      <c r="BC47" s="76"/>
      <c r="BD47" s="736">
        <f>BB47*BD46</f>
        <v>920424716793.651</v>
      </c>
      <c r="BE47" s="76"/>
      <c r="BF47" s="208">
        <f>BD47/BA60</f>
        <v>13.778031978999918</v>
      </c>
      <c r="BG47" s="76"/>
      <c r="BH47" s="76"/>
      <c r="BI47" s="76"/>
      <c r="BJ47" s="332" t="s">
        <v>989</v>
      </c>
      <c r="BK47" s="953">
        <f t="shared" si="24"/>
        <v>2040</v>
      </c>
      <c r="BL47" s="691">
        <f t="shared" si="25"/>
        <v>136637566547508.3</v>
      </c>
      <c r="BM47" s="894">
        <f t="shared" si="26"/>
        <v>2.5000000000000001E-2</v>
      </c>
      <c r="BN47" s="691">
        <f t="shared" si="27"/>
        <v>3415939163687.7075</v>
      </c>
      <c r="BP47" s="76"/>
      <c r="BQ47" s="953">
        <f t="shared" si="19"/>
        <v>2040</v>
      </c>
      <c r="BR47" s="691">
        <f t="shared" si="22"/>
        <v>10737418.24</v>
      </c>
      <c r="BS47" s="987">
        <v>64</v>
      </c>
      <c r="BT47" s="875">
        <f t="shared" si="16"/>
        <v>687194767.36000001</v>
      </c>
      <c r="BU47" s="969"/>
      <c r="BV47" s="977"/>
      <c r="BW47" s="691">
        <f t="shared" si="17"/>
        <v>0</v>
      </c>
      <c r="BY47" s="691">
        <f t="shared" si="7"/>
        <v>0</v>
      </c>
      <c r="BZ47" s="691">
        <f t="shared" si="20"/>
        <v>10977936408.576</v>
      </c>
      <c r="CA47" s="894">
        <f t="shared" si="14"/>
        <v>0.125</v>
      </c>
      <c r="CB47" s="975">
        <f t="shared" si="11"/>
        <v>1372242051.072</v>
      </c>
      <c r="CC47" s="691">
        <f t="shared" si="13"/>
        <v>1199277690.2583988</v>
      </c>
      <c r="CD47" s="183">
        <f t="shared" si="21"/>
        <v>0</v>
      </c>
      <c r="CE47" s="949">
        <f t="shared" si="10"/>
        <v>2040</v>
      </c>
    </row>
    <row r="48" spans="1:83" ht="16.2" thickBot="1" x14ac:dyDescent="0.35">
      <c r="AU48" s="1150" t="s">
        <v>309</v>
      </c>
      <c r="AV48" s="182">
        <f>AV47*AV34</f>
        <v>90946962294.986588</v>
      </c>
      <c r="AZ48" s="565" t="s">
        <v>894</v>
      </c>
      <c r="BA48" s="208">
        <f>BA32/BA47</f>
        <v>9.0751523865427028</v>
      </c>
      <c r="BB48" s="367"/>
      <c r="BD48" s="192">
        <f>BA60</f>
        <v>66803787231.480957</v>
      </c>
      <c r="BE48" s="193"/>
      <c r="BF48" s="1" t="s">
        <v>1339</v>
      </c>
      <c r="BJ48" s="332" t="s">
        <v>989</v>
      </c>
      <c r="BK48" s="953">
        <f t="shared" si="24"/>
        <v>2041</v>
      </c>
      <c r="BL48" s="691">
        <f t="shared" si="25"/>
        <v>140053505711196</v>
      </c>
      <c r="BM48" s="894">
        <f t="shared" si="26"/>
        <v>2.5000000000000001E-2</v>
      </c>
      <c r="BN48" s="691">
        <f t="shared" si="27"/>
        <v>3501337642779.9004</v>
      </c>
      <c r="BP48" s="76"/>
      <c r="BQ48" s="953">
        <f t="shared" si="19"/>
        <v>2041</v>
      </c>
      <c r="BR48" s="691">
        <f t="shared" si="22"/>
        <v>10737418.24</v>
      </c>
      <c r="BS48" s="987">
        <v>64</v>
      </c>
      <c r="BT48" s="875">
        <f t="shared" si="16"/>
        <v>687194767.36000001</v>
      </c>
      <c r="BU48" s="969"/>
      <c r="BV48" s="977"/>
      <c r="BW48" s="691">
        <f t="shared" si="17"/>
        <v>0</v>
      </c>
      <c r="BY48" s="691">
        <f t="shared" si="7"/>
        <v>0</v>
      </c>
      <c r="BZ48" s="691">
        <f t="shared" si="20"/>
        <v>10977936408.576</v>
      </c>
      <c r="CA48" s="894">
        <f t="shared" si="14"/>
        <v>0.125</v>
      </c>
      <c r="CB48" s="975">
        <f t="shared" si="11"/>
        <v>1372242051.072</v>
      </c>
      <c r="CC48" s="691">
        <f t="shared" si="13"/>
        <v>1199277690.2583988</v>
      </c>
      <c r="CD48" s="183">
        <f t="shared" si="21"/>
        <v>0</v>
      </c>
      <c r="CE48" s="949">
        <f t="shared" si="10"/>
        <v>2041</v>
      </c>
    </row>
    <row r="49" spans="3:83" ht="16.2" thickBot="1" x14ac:dyDescent="0.35">
      <c r="C49" s="1" t="s">
        <v>801</v>
      </c>
      <c r="AU49" s="1150" t="s">
        <v>308</v>
      </c>
      <c r="AV49" s="182">
        <f>AV48*AW49</f>
        <v>60173238663.231979</v>
      </c>
      <c r="AW49" s="680">
        <v>0.66163000000000005</v>
      </c>
      <c r="AX49" s="1" t="s">
        <v>1275</v>
      </c>
      <c r="AZ49" s="565" t="s">
        <v>888</v>
      </c>
      <c r="BA49" s="953">
        <v>8</v>
      </c>
      <c r="BB49" s="1" t="s">
        <v>889</v>
      </c>
      <c r="BF49" s="1" t="s">
        <v>1340</v>
      </c>
      <c r="BJ49" s="332" t="s">
        <v>989</v>
      </c>
      <c r="BK49" s="953">
        <f t="shared" si="24"/>
        <v>2042</v>
      </c>
      <c r="BL49" s="691">
        <f t="shared" si="25"/>
        <v>143554843353975.91</v>
      </c>
      <c r="BM49" s="894">
        <f t="shared" si="26"/>
        <v>2.5000000000000001E-2</v>
      </c>
      <c r="BN49" s="691">
        <f t="shared" si="27"/>
        <v>3588871083849.3979</v>
      </c>
      <c r="BP49" s="76"/>
      <c r="BQ49" s="953">
        <f t="shared" si="19"/>
        <v>2042</v>
      </c>
      <c r="BR49" s="691">
        <f t="shared" si="22"/>
        <v>10737418.24</v>
      </c>
      <c r="BS49" s="987">
        <v>64</v>
      </c>
      <c r="BT49" s="875">
        <f t="shared" si="16"/>
        <v>687194767.36000001</v>
      </c>
      <c r="BU49" s="969"/>
      <c r="BV49" s="977"/>
      <c r="BW49" s="691">
        <f t="shared" si="17"/>
        <v>0</v>
      </c>
      <c r="BY49" s="691">
        <f t="shared" si="7"/>
        <v>0</v>
      </c>
      <c r="BZ49" s="691">
        <f t="shared" si="20"/>
        <v>10977936408.576</v>
      </c>
      <c r="CA49" s="894">
        <f t="shared" si="14"/>
        <v>0.125</v>
      </c>
      <c r="CB49" s="975">
        <f t="shared" si="11"/>
        <v>1372242051.072</v>
      </c>
      <c r="CC49" s="691">
        <f t="shared" si="13"/>
        <v>1199277690.2583988</v>
      </c>
      <c r="CD49" s="183">
        <f t="shared" si="21"/>
        <v>0</v>
      </c>
      <c r="CE49" s="949">
        <f t="shared" si="10"/>
        <v>2042</v>
      </c>
    </row>
    <row r="50" spans="3:83" x14ac:dyDescent="0.3">
      <c r="C50" s="13"/>
      <c r="D50" s="4"/>
      <c r="E50" s="120" t="s">
        <v>275</v>
      </c>
      <c r="F50" s="4"/>
      <c r="G50" s="173" t="s">
        <v>288</v>
      </c>
      <c r="H50" s="462" t="s">
        <v>1367</v>
      </c>
      <c r="I50" s="170" t="s">
        <v>1373</v>
      </c>
      <c r="J50" s="175" t="s">
        <v>297</v>
      </c>
      <c r="K50" s="170" t="s">
        <v>802</v>
      </c>
      <c r="AV50" s="239"/>
      <c r="AX50" s="1" t="s">
        <v>1276</v>
      </c>
      <c r="AZ50" s="565" t="s">
        <v>890</v>
      </c>
      <c r="BA50" s="208">
        <f>BA48/BA49</f>
        <v>1.1343940483178379</v>
      </c>
      <c r="BJ50" s="332" t="s">
        <v>989</v>
      </c>
      <c r="BK50" s="953">
        <f t="shared" si="24"/>
        <v>2043</v>
      </c>
      <c r="BL50" s="691">
        <f t="shared" si="25"/>
        <v>147143714437825.31</v>
      </c>
      <c r="BM50" s="894">
        <f t="shared" si="26"/>
        <v>2.5000000000000001E-2</v>
      </c>
      <c r="BN50" s="691">
        <f t="shared" si="27"/>
        <v>3678592860945.6328</v>
      </c>
      <c r="BP50" s="76"/>
      <c r="BQ50" s="953">
        <f t="shared" si="19"/>
        <v>2043</v>
      </c>
      <c r="BR50" s="691">
        <f t="shared" si="22"/>
        <v>10737418.24</v>
      </c>
      <c r="BS50" s="987">
        <v>64</v>
      </c>
      <c r="BT50" s="875">
        <f t="shared" si="16"/>
        <v>687194767.36000001</v>
      </c>
      <c r="BU50" s="969"/>
      <c r="BV50" s="977"/>
      <c r="BW50" s="691">
        <f t="shared" si="17"/>
        <v>0</v>
      </c>
      <c r="BY50" s="691">
        <f t="shared" si="7"/>
        <v>0</v>
      </c>
      <c r="BZ50" s="691">
        <f t="shared" si="20"/>
        <v>10977936408.576</v>
      </c>
      <c r="CA50" s="894">
        <f t="shared" si="14"/>
        <v>0.125</v>
      </c>
      <c r="CB50" s="975">
        <f t="shared" si="11"/>
        <v>1372242051.072</v>
      </c>
      <c r="CC50" s="691">
        <f t="shared" si="13"/>
        <v>1199277690.2583988</v>
      </c>
      <c r="CD50" s="183">
        <f t="shared" si="21"/>
        <v>0</v>
      </c>
      <c r="CE50" s="949">
        <f t="shared" si="10"/>
        <v>2043</v>
      </c>
    </row>
    <row r="51" spans="3:83" x14ac:dyDescent="0.3">
      <c r="C51" s="122"/>
      <c r="D51" s="7"/>
      <c r="E51" s="875">
        <f>E8</f>
        <v>12112981133.848032</v>
      </c>
      <c r="F51" s="7"/>
      <c r="G51" s="468" t="s">
        <v>1386</v>
      </c>
      <c r="H51" s="469"/>
      <c r="I51" s="470"/>
      <c r="J51" s="471"/>
      <c r="K51" s="470"/>
      <c r="AV51" s="277" t="s">
        <v>748</v>
      </c>
      <c r="AZ51" s="239"/>
      <c r="BA51" s="76"/>
      <c r="BJ51" s="332" t="s">
        <v>989</v>
      </c>
      <c r="BK51" s="953">
        <f t="shared" si="24"/>
        <v>2044</v>
      </c>
      <c r="BL51" s="691">
        <f t="shared" si="25"/>
        <v>150822307298770.94</v>
      </c>
      <c r="BM51" s="894">
        <f t="shared" si="26"/>
        <v>2.5000000000000001E-2</v>
      </c>
      <c r="BN51" s="691">
        <f t="shared" si="27"/>
        <v>3770557682469.2734</v>
      </c>
      <c r="BP51" s="76"/>
      <c r="BQ51" s="953">
        <f t="shared" si="19"/>
        <v>2044</v>
      </c>
      <c r="BR51" s="691">
        <f t="shared" si="22"/>
        <v>10737418.24</v>
      </c>
      <c r="BS51" s="987">
        <v>64</v>
      </c>
      <c r="BT51" s="875">
        <f t="shared" si="16"/>
        <v>687194767.36000001</v>
      </c>
      <c r="BU51" s="969"/>
      <c r="BV51" s="977"/>
      <c r="BW51" s="691">
        <f t="shared" si="17"/>
        <v>0</v>
      </c>
      <c r="BY51" s="691">
        <f t="shared" si="7"/>
        <v>0</v>
      </c>
      <c r="BZ51" s="691">
        <f t="shared" si="20"/>
        <v>10977936408.576</v>
      </c>
      <c r="CA51" s="894">
        <f t="shared" si="14"/>
        <v>0.125</v>
      </c>
      <c r="CB51" s="975">
        <f t="shared" si="11"/>
        <v>1372242051.072</v>
      </c>
      <c r="CC51" s="691">
        <f t="shared" si="13"/>
        <v>1199277690.2583988</v>
      </c>
      <c r="CD51" s="183">
        <f t="shared" si="21"/>
        <v>0</v>
      </c>
      <c r="CE51" s="949">
        <f t="shared" si="10"/>
        <v>2044</v>
      </c>
    </row>
    <row r="52" spans="3:83" ht="16.2" thickBot="1" x14ac:dyDescent="0.35">
      <c r="C52" s="122"/>
      <c r="D52" s="7"/>
      <c r="E52" s="7"/>
      <c r="F52" s="127"/>
      <c r="G52" s="127" t="s">
        <v>280</v>
      </c>
      <c r="H52" s="7"/>
      <c r="I52" s="459" t="s">
        <v>282</v>
      </c>
      <c r="J52" s="122"/>
      <c r="K52" s="8"/>
      <c r="AV52" s="277" t="s">
        <v>747</v>
      </c>
      <c r="AX52" s="110" t="s">
        <v>746</v>
      </c>
      <c r="AZ52" s="565" t="s">
        <v>891</v>
      </c>
      <c r="BA52" s="76"/>
      <c r="BJ52" s="332" t="s">
        <v>989</v>
      </c>
      <c r="BK52" s="953">
        <f t="shared" si="24"/>
        <v>2045</v>
      </c>
      <c r="BL52" s="691">
        <f t="shared" si="25"/>
        <v>154592864981240.22</v>
      </c>
      <c r="BM52" s="894">
        <f t="shared" si="26"/>
        <v>2.5000000000000001E-2</v>
      </c>
      <c r="BN52" s="691">
        <f t="shared" si="27"/>
        <v>3864821624531.0059</v>
      </c>
      <c r="BP52" s="76"/>
      <c r="BQ52" s="953">
        <f t="shared" si="19"/>
        <v>2045</v>
      </c>
      <c r="BR52" s="691">
        <f t="shared" si="22"/>
        <v>10737418.24</v>
      </c>
      <c r="BS52" s="987">
        <v>64</v>
      </c>
      <c r="BT52" s="875">
        <f t="shared" si="16"/>
        <v>687194767.36000001</v>
      </c>
      <c r="BU52" s="969"/>
      <c r="BV52" s="977"/>
      <c r="BW52" s="691">
        <f t="shared" si="17"/>
        <v>0</v>
      </c>
      <c r="BY52" s="691">
        <f t="shared" si="7"/>
        <v>0</v>
      </c>
      <c r="BZ52" s="691">
        <f t="shared" si="20"/>
        <v>10977936408.576</v>
      </c>
      <c r="CA52" s="894">
        <f t="shared" si="14"/>
        <v>0.125</v>
      </c>
      <c r="CB52" s="975">
        <f t="shared" si="11"/>
        <v>1372242051.072</v>
      </c>
      <c r="CC52" s="691">
        <f t="shared" si="13"/>
        <v>1199277690.2583988</v>
      </c>
      <c r="CD52" s="183">
        <f t="shared" si="21"/>
        <v>0</v>
      </c>
      <c r="CE52" s="949">
        <f t="shared" si="10"/>
        <v>2045</v>
      </c>
    </row>
    <row r="53" spans="3:83" ht="16.2" thickBot="1" x14ac:dyDescent="0.35">
      <c r="C53" s="122"/>
      <c r="D53" s="7"/>
      <c r="E53" s="7"/>
      <c r="F53" s="129">
        <v>0.25</v>
      </c>
      <c r="G53" s="130">
        <f>E57*F53</f>
        <v>168299876.51055408</v>
      </c>
      <c r="H53" s="460">
        <v>0.5</v>
      </c>
      <c r="I53" s="130">
        <f>G53*H53</f>
        <v>84149938.255277038</v>
      </c>
      <c r="J53" s="460">
        <v>0</v>
      </c>
      <c r="K53" s="458">
        <f>I53*J53</f>
        <v>0</v>
      </c>
      <c r="AT53" s="933">
        <f>AW53</f>
        <v>512</v>
      </c>
      <c r="AU53" s="927" t="s">
        <v>745</v>
      </c>
      <c r="AV53" s="578">
        <f>AX53*AW53</f>
        <v>10995116277.76</v>
      </c>
      <c r="AW53" s="934">
        <v>512</v>
      </c>
      <c r="AX53" s="578">
        <f>'POP Dimensions'!J15</f>
        <v>21474836.48</v>
      </c>
      <c r="AY53" s="239"/>
      <c r="AZ53" s="565" t="s">
        <v>901</v>
      </c>
      <c r="BA53" s="484">
        <v>0.17</v>
      </c>
      <c r="BB53" s="1" t="s">
        <v>895</v>
      </c>
      <c r="BJ53" s="332" t="s">
        <v>989</v>
      </c>
      <c r="BK53" s="953">
        <f t="shared" si="24"/>
        <v>2046</v>
      </c>
      <c r="BL53" s="691">
        <f t="shared" si="25"/>
        <v>158457686605771.22</v>
      </c>
      <c r="BM53" s="894">
        <f t="shared" si="26"/>
        <v>2.5000000000000001E-2</v>
      </c>
      <c r="BN53" s="691">
        <f t="shared" si="27"/>
        <v>3961442165144.2808</v>
      </c>
      <c r="BP53" s="76"/>
      <c r="BQ53" s="953">
        <f t="shared" si="19"/>
        <v>2046</v>
      </c>
      <c r="BR53" s="691">
        <f t="shared" si="22"/>
        <v>10737418.24</v>
      </c>
      <c r="BS53" s="987">
        <v>64</v>
      </c>
      <c r="BT53" s="875">
        <f t="shared" si="16"/>
        <v>687194767.36000001</v>
      </c>
      <c r="BU53" s="969"/>
      <c r="BV53" s="977"/>
      <c r="BW53" s="691">
        <f t="shared" si="17"/>
        <v>0</v>
      </c>
      <c r="BY53" s="691">
        <f t="shared" si="7"/>
        <v>0</v>
      </c>
      <c r="BZ53" s="691">
        <f t="shared" si="20"/>
        <v>10977936408.576</v>
      </c>
      <c r="CA53" s="894">
        <f t="shared" si="14"/>
        <v>0.125</v>
      </c>
      <c r="CB53" s="975">
        <f t="shared" si="11"/>
        <v>1372242051.072</v>
      </c>
      <c r="CC53" s="691">
        <f t="shared" si="13"/>
        <v>1199277690.2583988</v>
      </c>
      <c r="CD53" s="183">
        <f t="shared" si="21"/>
        <v>0</v>
      </c>
      <c r="CE53" s="949">
        <f t="shared" si="10"/>
        <v>2046</v>
      </c>
    </row>
    <row r="54" spans="3:83" ht="16.2" thickBot="1" x14ac:dyDescent="0.35">
      <c r="C54" s="122"/>
      <c r="D54" s="7"/>
      <c r="E54" s="7"/>
      <c r="F54" s="133"/>
      <c r="G54" s="134" t="s">
        <v>290</v>
      </c>
      <c r="H54" s="7"/>
      <c r="I54" s="457" t="s">
        <v>283</v>
      </c>
      <c r="J54" s="122"/>
      <c r="K54" s="8"/>
      <c r="AT54" s="927"/>
      <c r="AV54" s="999" t="s">
        <v>1355</v>
      </c>
      <c r="AW54" s="254"/>
      <c r="AX54" s="248" t="s">
        <v>1290</v>
      </c>
      <c r="AZ54" s="566"/>
      <c r="BA54" s="76"/>
      <c r="BJ54" s="332" t="s">
        <v>989</v>
      </c>
      <c r="BK54" s="953">
        <f t="shared" si="24"/>
        <v>2047</v>
      </c>
      <c r="BL54" s="691">
        <f t="shared" si="25"/>
        <v>162419128770915.5</v>
      </c>
      <c r="BM54" s="894">
        <f t="shared" si="26"/>
        <v>2.5000000000000001E-2</v>
      </c>
      <c r="BN54" s="691">
        <f t="shared" si="27"/>
        <v>4060478219272.8877</v>
      </c>
      <c r="BP54" s="76"/>
      <c r="BQ54" s="953">
        <f t="shared" si="19"/>
        <v>2047</v>
      </c>
      <c r="BR54" s="691">
        <f t="shared" si="22"/>
        <v>10737418.24</v>
      </c>
      <c r="BS54" s="987">
        <v>64</v>
      </c>
      <c r="BT54" s="875">
        <f t="shared" si="16"/>
        <v>687194767.36000001</v>
      </c>
      <c r="BU54" s="969"/>
      <c r="BV54" s="977"/>
      <c r="BW54" s="691">
        <f t="shared" si="17"/>
        <v>0</v>
      </c>
      <c r="BY54" s="691">
        <f t="shared" si="7"/>
        <v>0</v>
      </c>
      <c r="BZ54" s="691">
        <f t="shared" si="20"/>
        <v>10977936408.576</v>
      </c>
      <c r="CA54" s="894">
        <f t="shared" si="14"/>
        <v>0.125</v>
      </c>
      <c r="CB54" s="975">
        <f t="shared" si="11"/>
        <v>1372242051.072</v>
      </c>
      <c r="CC54" s="691">
        <f t="shared" si="13"/>
        <v>1199277690.2583988</v>
      </c>
      <c r="CD54" s="183">
        <f t="shared" si="21"/>
        <v>0</v>
      </c>
      <c r="CE54" s="949">
        <f t="shared" si="10"/>
        <v>2047</v>
      </c>
    </row>
    <row r="55" spans="3:83" ht="16.2" thickBot="1" x14ac:dyDescent="0.35">
      <c r="C55" s="122"/>
      <c r="D55" s="7"/>
      <c r="E55" s="7"/>
      <c r="F55" s="133">
        <v>0.25</v>
      </c>
      <c r="G55" s="135">
        <f>E57*F55</f>
        <v>168299876.51055408</v>
      </c>
      <c r="H55" s="461">
        <v>0.9</v>
      </c>
      <c r="I55" s="135">
        <f>G55*H55</f>
        <v>151469888.85949868</v>
      </c>
      <c r="J55" s="461">
        <v>0</v>
      </c>
      <c r="K55" s="440">
        <f>I55*J55</f>
        <v>0</v>
      </c>
      <c r="AT55" s="239"/>
      <c r="AV55" s="1002" t="s">
        <v>867</v>
      </c>
      <c r="AW55" s="254"/>
      <c r="AX55" s="253"/>
      <c r="AZ55" s="239"/>
      <c r="BA55" s="484">
        <v>0.17</v>
      </c>
      <c r="BB55" s="32">
        <f>BA55</f>
        <v>0.17</v>
      </c>
      <c r="BJ55" s="332" t="s">
        <v>989</v>
      </c>
      <c r="BK55" s="953">
        <f t="shared" si="24"/>
        <v>2048</v>
      </c>
      <c r="BL55" s="691">
        <f t="shared" si="25"/>
        <v>166479606990188.38</v>
      </c>
      <c r="BM55" s="894">
        <f t="shared" si="26"/>
        <v>2.5000000000000001E-2</v>
      </c>
      <c r="BN55" s="691">
        <f t="shared" si="27"/>
        <v>4161990174754.7095</v>
      </c>
      <c r="BO55" s="895" t="s">
        <v>1280</v>
      </c>
      <c r="BP55" s="76"/>
      <c r="BQ55" s="953">
        <f t="shared" si="19"/>
        <v>2048</v>
      </c>
      <c r="BR55" s="691">
        <f t="shared" si="22"/>
        <v>10737418.24</v>
      </c>
      <c r="BS55" s="987">
        <v>64</v>
      </c>
      <c r="BT55" s="875">
        <f t="shared" si="16"/>
        <v>687194767.36000001</v>
      </c>
      <c r="BU55" s="969"/>
      <c r="BV55" s="977"/>
      <c r="BW55" s="691">
        <f t="shared" si="17"/>
        <v>0</v>
      </c>
      <c r="BY55" s="691">
        <f t="shared" si="7"/>
        <v>0</v>
      </c>
      <c r="BZ55" s="691">
        <f t="shared" si="20"/>
        <v>10977936408.576</v>
      </c>
      <c r="CA55" s="894">
        <f t="shared" si="14"/>
        <v>0.125</v>
      </c>
      <c r="CB55" s="975">
        <f t="shared" si="11"/>
        <v>1372242051.072</v>
      </c>
      <c r="CC55" s="691">
        <f t="shared" si="13"/>
        <v>1199277690.2583988</v>
      </c>
      <c r="CD55" s="183">
        <f t="shared" si="21"/>
        <v>0</v>
      </c>
      <c r="CE55" s="949">
        <f t="shared" si="10"/>
        <v>2048</v>
      </c>
    </row>
    <row r="56" spans="3:83" ht="18.600000000000001" thickBot="1" x14ac:dyDescent="0.4">
      <c r="C56" s="122"/>
      <c r="D56" s="7"/>
      <c r="E56" s="7"/>
      <c r="F56" s="136"/>
      <c r="G56" s="136" t="s">
        <v>279</v>
      </c>
      <c r="H56" s="7"/>
      <c r="I56" s="451" t="s">
        <v>284</v>
      </c>
      <c r="J56" s="122"/>
      <c r="K56" s="8"/>
      <c r="S56" s="88"/>
      <c r="AT56" s="239"/>
      <c r="AV56" s="719">
        <f>AV48-AV53</f>
        <v>79951846017.226593</v>
      </c>
      <c r="AW56" s="253"/>
      <c r="AX56" s="253"/>
      <c r="AY56" s="253"/>
      <c r="AZ56" s="239" t="s">
        <v>892</v>
      </c>
      <c r="BA56" s="615">
        <f>BB58</f>
        <v>6.6729061665755163</v>
      </c>
      <c r="BB56" s="569" t="s">
        <v>980</v>
      </c>
      <c r="BC56" s="569"/>
      <c r="BD56" s="181"/>
      <c r="BE56" s="181"/>
      <c r="BF56" s="252"/>
      <c r="BG56" s="252"/>
      <c r="BH56" s="252"/>
      <c r="BI56" s="252"/>
      <c r="BO56" s="1"/>
      <c r="BU56" s="979">
        <f>SUM(BU22:BU55)</f>
        <v>15.975</v>
      </c>
      <c r="BV56" s="979">
        <f>SUM(BV22:BV55)</f>
        <v>0</v>
      </c>
    </row>
    <row r="57" spans="3:83" ht="16.8" thickTop="1" thickBot="1" x14ac:dyDescent="0.35">
      <c r="C57" s="137" t="s">
        <v>291</v>
      </c>
      <c r="D57" s="138">
        <f>E57/E51</f>
        <v>5.5576698964803502E-2</v>
      </c>
      <c r="E57" s="139">
        <f>E14</f>
        <v>673199506.0422163</v>
      </c>
      <c r="F57" s="140">
        <v>0.5</v>
      </c>
      <c r="G57" s="139">
        <f>E57*F57</f>
        <v>336599753.02110815</v>
      </c>
      <c r="H57" s="463">
        <v>0.95</v>
      </c>
      <c r="I57" s="139">
        <f>G57*H57</f>
        <v>319769765.37005275</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48"/>
      <c r="AU57" s="937" t="s">
        <v>1293</v>
      </c>
      <c r="AV57" s="1003"/>
      <c r="AW57" s="253"/>
      <c r="AX57" s="877" t="s">
        <v>1293</v>
      </c>
      <c r="AY57" s="252"/>
      <c r="AZ57" s="239"/>
      <c r="BA57" s="208">
        <f>BA50</f>
        <v>1.1343940483178379</v>
      </c>
      <c r="BB57" s="80">
        <f>BA57</f>
        <v>1.1343940483178379</v>
      </c>
      <c r="BY57" s="77" t="s">
        <v>966</v>
      </c>
      <c r="BZ57" s="77"/>
      <c r="CA57" s="77" t="s">
        <v>965</v>
      </c>
      <c r="CB57" s="77"/>
      <c r="CC57" s="77"/>
    </row>
    <row r="58" spans="3:83"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48"/>
      <c r="AU58" s="937" t="s">
        <v>1294</v>
      </c>
      <c r="AV58" s="996">
        <f>AV56*AW58</f>
        <v>1199277690.2583988</v>
      </c>
      <c r="AW58" s="923">
        <v>1.4999999999999999E-2</v>
      </c>
      <c r="AX58" s="924" t="s">
        <v>1443</v>
      </c>
      <c r="AY58" s="925"/>
      <c r="AZ58" s="239"/>
      <c r="BA58" s="76"/>
      <c r="BB58" s="1">
        <f>BB57/BB55</f>
        <v>6.6729061665755163</v>
      </c>
      <c r="BY58" s="77" t="s">
        <v>785</v>
      </c>
      <c r="BZ58" s="77"/>
      <c r="CA58" s="77" t="s">
        <v>962</v>
      </c>
      <c r="CB58" s="77"/>
      <c r="CC58" s="77"/>
    </row>
    <row r="59" spans="3:83"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76"/>
      <c r="AS59" s="410"/>
      <c r="AT59" s="928"/>
      <c r="AU59" s="948" t="s">
        <v>1295</v>
      </c>
      <c r="AV59" s="911">
        <f>AV56*AW59</f>
        <v>3997592300.86133</v>
      </c>
      <c r="AW59" s="912">
        <v>0.05</v>
      </c>
      <c r="AX59" s="875" t="s">
        <v>1162</v>
      </c>
      <c r="AY59" s="126"/>
      <c r="AZ59" s="239"/>
      <c r="BA59" s="76"/>
      <c r="BF59" s="32"/>
    </row>
    <row r="60" spans="3:83" ht="16.2" thickBot="1" x14ac:dyDescent="0.35">
      <c r="C60" s="397" t="s">
        <v>276</v>
      </c>
      <c r="D60" s="398">
        <f>100%-D57-D63</f>
        <v>0.78125</v>
      </c>
      <c r="E60" s="399">
        <f>E51*D60</f>
        <v>9463266510.8187752</v>
      </c>
      <c r="F60" s="400">
        <v>1</v>
      </c>
      <c r="G60" s="399">
        <f>E60*F60</f>
        <v>9463266510.8187752</v>
      </c>
      <c r="H60" s="464">
        <v>0.9</v>
      </c>
      <c r="I60" s="399">
        <f>G60*H60</f>
        <v>8516939859.7368975</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76"/>
      <c r="AS60" s="76"/>
      <c r="AT60" s="239"/>
      <c r="AU60" s="948" t="s">
        <v>1296</v>
      </c>
      <c r="AV60" s="911">
        <f>AV56*AW60</f>
        <v>3198073840.6890635</v>
      </c>
      <c r="AW60" s="912">
        <v>0.04</v>
      </c>
      <c r="AX60" s="875" t="s">
        <v>1441</v>
      </c>
      <c r="AY60" s="126"/>
      <c r="AZ60" s="239"/>
      <c r="BA60" s="691">
        <f>BA32+BA47</f>
        <v>66803787231.480957</v>
      </c>
      <c r="BB60" s="1" t="s">
        <v>958</v>
      </c>
      <c r="BO60" s="1"/>
      <c r="BS60" s="1"/>
      <c r="CD60" s="1"/>
      <c r="CE60" s="1"/>
    </row>
    <row r="61" spans="3:83"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76"/>
      <c r="AS61" s="410"/>
      <c r="AT61" s="927"/>
      <c r="AU61" s="948" t="s">
        <v>1297</v>
      </c>
      <c r="AV61" s="911">
        <f>AV56*AW61</f>
        <v>4797110761.0335951</v>
      </c>
      <c r="AW61" s="912">
        <v>0.06</v>
      </c>
      <c r="AX61" s="875" t="s">
        <v>1303</v>
      </c>
      <c r="AY61" s="126"/>
      <c r="AZ61" s="253"/>
      <c r="BA61" s="647">
        <f>BA60/BA47</f>
        <v>10.075152386542703</v>
      </c>
    </row>
    <row r="62" spans="3:83"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76"/>
      <c r="AS62" s="76"/>
      <c r="AT62" s="239"/>
      <c r="AU62" s="948" t="s">
        <v>1300</v>
      </c>
      <c r="AV62" s="911">
        <f>AV56*AW62</f>
        <v>4797110761.0335951</v>
      </c>
      <c r="AW62" s="912">
        <v>0.06</v>
      </c>
      <c r="AX62" s="410" t="s">
        <v>1442</v>
      </c>
      <c r="AY62" s="126"/>
      <c r="AZ62" s="253"/>
    </row>
    <row r="63" spans="3:83" ht="16.2" thickBot="1" x14ac:dyDescent="0.35">
      <c r="C63" s="149" t="s">
        <v>737</v>
      </c>
      <c r="D63" s="150">
        <f>E63/E51</f>
        <v>0.16317330103519651</v>
      </c>
      <c r="E63" s="151">
        <f>E21</f>
        <v>1976515116.9870408</v>
      </c>
      <c r="F63" s="152">
        <v>0.3</v>
      </c>
      <c r="G63" s="151">
        <f>E63*F63</f>
        <v>592954535.09611225</v>
      </c>
      <c r="H63" s="465">
        <v>0.9</v>
      </c>
      <c r="I63" s="151">
        <f>G63*H63</f>
        <v>533659081.58650106</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926"/>
      <c r="AR63" s="410"/>
      <c r="AS63" s="410"/>
      <c r="AT63" s="927"/>
      <c r="AU63" s="948" t="s">
        <v>1305</v>
      </c>
      <c r="AV63" s="911">
        <f>AV56*AW63</f>
        <v>3198073840.6890635</v>
      </c>
      <c r="AW63" s="912">
        <v>0.04</v>
      </c>
      <c r="AX63" s="410" t="s">
        <v>148</v>
      </c>
      <c r="AY63" s="126"/>
      <c r="AZ63" s="253"/>
    </row>
    <row r="64" spans="3:83"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O64" s="88"/>
      <c r="AQ64" s="106"/>
      <c r="AR64" s="964"/>
      <c r="AS64" s="106"/>
      <c r="AT64" s="929"/>
      <c r="AU64" s="938"/>
      <c r="AV64" s="1004"/>
      <c r="AW64" s="1005"/>
      <c r="AX64" s="1005"/>
      <c r="AY64" s="903"/>
      <c r="AZ64" s="253"/>
    </row>
    <row r="65" spans="3:83" ht="16.2" thickBot="1" x14ac:dyDescent="0.35">
      <c r="C65" s="141"/>
      <c r="D65" s="429"/>
      <c r="E65" s="371"/>
      <c r="F65" s="430">
        <v>0.25</v>
      </c>
      <c r="G65" s="432">
        <f>E63*F65</f>
        <v>494128779.24676019</v>
      </c>
      <c r="H65" s="466">
        <v>0.95</v>
      </c>
      <c r="I65" s="432">
        <f>G65*H65</f>
        <v>469422340.28442216</v>
      </c>
      <c r="J65" s="466">
        <v>0</v>
      </c>
      <c r="K65" s="449">
        <f>I65*J65</f>
        <v>0</v>
      </c>
      <c r="S65" s="88"/>
      <c r="Y65" s="238"/>
      <c r="AE65" s="252"/>
      <c r="AF65" s="252"/>
      <c r="AG65" s="252"/>
      <c r="AH65" s="252"/>
      <c r="AI65" s="252"/>
      <c r="AJ65" s="252"/>
      <c r="AK65" s="252"/>
      <c r="AL65" s="252"/>
      <c r="AM65" s="252"/>
      <c r="AO65" s="88"/>
      <c r="AQ65" s="106"/>
      <c r="AR65" s="964"/>
      <c r="AS65" s="106"/>
      <c r="AT65" s="927"/>
      <c r="AU65" s="939" t="s">
        <v>1299</v>
      </c>
      <c r="AV65" s="1006">
        <f>AV53</f>
        <v>10995116277.76</v>
      </c>
      <c r="AW65" s="935">
        <f>AV65/AV56</f>
        <v>0.13752173121044597</v>
      </c>
      <c r="AX65" s="898" t="s">
        <v>1311</v>
      </c>
      <c r="AY65" s="905"/>
      <c r="AZ65" s="253"/>
    </row>
    <row r="66" spans="3:83"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O66" s="88"/>
      <c r="AP66" s="88"/>
      <c r="AQ66" s="106"/>
      <c r="AR66" s="964"/>
      <c r="AS66" s="106"/>
      <c r="AT66" s="106"/>
      <c r="AU66" s="940" t="s">
        <v>1325</v>
      </c>
      <c r="AV66" s="930">
        <f>AV56*AW66</f>
        <v>399759230.08613294</v>
      </c>
      <c r="AW66" s="931">
        <v>5.0000000000000001E-3</v>
      </c>
      <c r="AX66" s="898" t="s">
        <v>1315</v>
      </c>
      <c r="AY66" s="905"/>
      <c r="AZ66" s="946">
        <v>272</v>
      </c>
      <c r="BA66" s="181" t="s">
        <v>1314</v>
      </c>
    </row>
    <row r="67" spans="3:83" ht="16.2" thickBot="1" x14ac:dyDescent="0.35">
      <c r="C67" s="122"/>
      <c r="D67" s="7"/>
      <c r="E67" s="7"/>
      <c r="F67" s="153">
        <v>0.2</v>
      </c>
      <c r="G67" s="99">
        <f>E63*F67</f>
        <v>395303023.39740819</v>
      </c>
      <c r="H67" s="467">
        <v>0.9</v>
      </c>
      <c r="I67" s="99">
        <f>G67*H67</f>
        <v>355772721.05766737</v>
      </c>
      <c r="J67" s="467">
        <v>0</v>
      </c>
      <c r="K67" s="443">
        <f>I67*J67</f>
        <v>0</v>
      </c>
      <c r="S67" s="88"/>
      <c r="W67" s="949">
        <v>2024</v>
      </c>
      <c r="Y67" s="76"/>
      <c r="AA67" s="952"/>
      <c r="AB67" s="252"/>
      <c r="AD67" s="252"/>
      <c r="AE67" s="252"/>
      <c r="AF67" s="252"/>
      <c r="AG67" s="252"/>
      <c r="AH67" s="252"/>
      <c r="AI67" s="252"/>
      <c r="AJ67" s="252"/>
      <c r="AK67" s="252"/>
      <c r="AL67" s="252"/>
      <c r="AM67" s="252"/>
      <c r="AO67" s="88"/>
      <c r="AQ67" s="106"/>
      <c r="AR67" s="964"/>
      <c r="AS67" s="106"/>
      <c r="AT67" s="106"/>
      <c r="AU67" s="940" t="s">
        <v>1307</v>
      </c>
      <c r="AV67" s="930">
        <f>AV56*AW67</f>
        <v>2398555380.5167975</v>
      </c>
      <c r="AW67" s="931">
        <v>0.03</v>
      </c>
      <c r="AX67" s="898" t="s">
        <v>1323</v>
      </c>
      <c r="AY67" s="905"/>
      <c r="AZ67" s="945">
        <v>100</v>
      </c>
      <c r="BA67" s="938">
        <f>AZ66*AZ67</f>
        <v>27200</v>
      </c>
      <c r="BB67" s="1" t="s">
        <v>1316</v>
      </c>
    </row>
    <row r="68" spans="3:83"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O68" s="88"/>
      <c r="AP68" s="88"/>
      <c r="AQ68" s="106"/>
      <c r="AR68" s="964"/>
      <c r="AS68" s="106"/>
      <c r="AT68" s="251"/>
      <c r="AU68" s="940" t="s">
        <v>1308</v>
      </c>
      <c r="AV68" s="930">
        <f>AV56*AW68</f>
        <v>2398555380.5167975</v>
      </c>
      <c r="AW68" s="931">
        <v>0.03</v>
      </c>
      <c r="AX68" s="898" t="s">
        <v>1438</v>
      </c>
      <c r="AY68" s="905"/>
      <c r="AZ68" s="600"/>
      <c r="BA68" s="1">
        <v>1000</v>
      </c>
      <c r="BB68" s="1" t="s">
        <v>226</v>
      </c>
    </row>
    <row r="69" spans="3:83" ht="16.2" thickBot="1" x14ac:dyDescent="0.35">
      <c r="C69" s="122"/>
      <c r="D69" s="7"/>
      <c r="E69" s="7"/>
      <c r="F69" s="438">
        <v>0.2</v>
      </c>
      <c r="G69" s="446">
        <f>E63*F69</f>
        <v>395303023.39740819</v>
      </c>
      <c r="H69" s="447">
        <v>0.25</v>
      </c>
      <c r="I69" s="446">
        <f>G69*H69</f>
        <v>98825755.849352047</v>
      </c>
      <c r="J69" s="447">
        <v>0</v>
      </c>
      <c r="K69" s="439">
        <f>I69*J69</f>
        <v>0</v>
      </c>
      <c r="Q69" s="240" t="s">
        <v>952</v>
      </c>
      <c r="S69" s="88"/>
      <c r="W69" s="691">
        <f>AY47</f>
        <v>6630548568.2489748</v>
      </c>
      <c r="Y69" s="238"/>
      <c r="AA69" s="952"/>
      <c r="AB69" s="88"/>
      <c r="AD69" s="88"/>
      <c r="AE69" s="252"/>
      <c r="AF69" s="252"/>
      <c r="AG69" s="252"/>
      <c r="AH69" s="252"/>
      <c r="AI69" s="252"/>
      <c r="AJ69" s="252"/>
      <c r="AK69" s="252"/>
      <c r="AL69" s="252"/>
      <c r="AM69" s="252"/>
      <c r="AN69" s="88"/>
      <c r="AO69" s="88"/>
      <c r="AP69" s="88"/>
      <c r="AQ69" s="88"/>
      <c r="AR69" s="958"/>
      <c r="AS69" s="88"/>
      <c r="AT69" s="88"/>
      <c r="AU69" s="940" t="s">
        <v>1317</v>
      </c>
      <c r="AV69" s="930">
        <f>AV56*AW69</f>
        <v>2398555380.5167975</v>
      </c>
      <c r="AW69" s="931">
        <v>0.03</v>
      </c>
      <c r="AX69" s="898" t="s">
        <v>1356</v>
      </c>
      <c r="AY69" s="905"/>
      <c r="AZ69" s="601"/>
      <c r="BA69" s="1">
        <f>BA67*BA68</f>
        <v>27200000</v>
      </c>
      <c r="BB69" s="1" t="s">
        <v>1320</v>
      </c>
    </row>
    <row r="70" spans="3:83" x14ac:dyDescent="0.3">
      <c r="C70" s="122"/>
      <c r="D70" s="7"/>
      <c r="E70" s="7"/>
      <c r="F70" s="142"/>
      <c r="G70" s="371"/>
      <c r="H70" s="142"/>
      <c r="I70" s="434"/>
      <c r="J70" s="142"/>
      <c r="K70" s="434"/>
      <c r="L70" s="240" t="s">
        <v>1367</v>
      </c>
      <c r="O70" s="240" t="s">
        <v>803</v>
      </c>
      <c r="Q70" s="951">
        <f>O72</f>
        <v>512</v>
      </c>
      <c r="S70" s="248" t="s">
        <v>367</v>
      </c>
      <c r="U70" s="77" t="s">
        <v>1328</v>
      </c>
      <c r="W70" s="77" t="s">
        <v>806</v>
      </c>
      <c r="Y70" s="238"/>
      <c r="AA70" s="88"/>
      <c r="AB70" s="88"/>
      <c r="AD70" s="88"/>
      <c r="AE70" s="252"/>
      <c r="AF70" s="252"/>
      <c r="AG70" s="252"/>
      <c r="AH70" s="252"/>
      <c r="AI70" s="252"/>
      <c r="AJ70" s="252"/>
      <c r="AK70" s="252"/>
      <c r="AL70" s="252"/>
      <c r="AM70" s="252"/>
      <c r="AN70" s="88"/>
      <c r="AO70" s="88"/>
      <c r="AP70" s="88"/>
      <c r="AQ70" s="88"/>
      <c r="AR70" s="958"/>
      <c r="AS70" s="88"/>
      <c r="AT70" s="88"/>
      <c r="AU70" s="940" t="s">
        <v>1318</v>
      </c>
      <c r="AV70" s="930">
        <f>AV56*AW70</f>
        <v>2398555380.5167975</v>
      </c>
      <c r="AW70" s="931">
        <v>0.03</v>
      </c>
      <c r="AX70" s="898" t="s">
        <v>1357</v>
      </c>
      <c r="AY70" s="905"/>
      <c r="AZ70" s="600"/>
      <c r="BA70" s="1">
        <f>BA69*2</f>
        <v>54400000</v>
      </c>
      <c r="BB70" s="1" t="s">
        <v>1346</v>
      </c>
      <c r="BO70" s="1"/>
      <c r="BS70" s="1"/>
      <c r="CD70" s="1"/>
      <c r="CE70" s="1"/>
    </row>
    <row r="71" spans="3:83" x14ac:dyDescent="0.3">
      <c r="C71" s="122"/>
      <c r="D71" s="7"/>
      <c r="E71" s="7"/>
      <c r="F71" s="7"/>
      <c r="G71" s="7"/>
      <c r="H71" s="7"/>
      <c r="I71" s="8"/>
      <c r="J71" s="122"/>
      <c r="K71" s="8"/>
      <c r="L71" s="240" t="s">
        <v>1387</v>
      </c>
      <c r="M71" s="239" t="s">
        <v>1327</v>
      </c>
      <c r="O71" s="240" t="s">
        <v>902</v>
      </c>
      <c r="Q71" s="240" t="s">
        <v>902</v>
      </c>
      <c r="S71" s="955">
        <f>AW53</f>
        <v>512</v>
      </c>
      <c r="U71" s="77" t="s">
        <v>804</v>
      </c>
      <c r="V71" s="947"/>
      <c r="W71" s="319">
        <v>0.3</v>
      </c>
      <c r="Y71" s="76" t="s">
        <v>893</v>
      </c>
      <c r="Z71" s="76"/>
      <c r="AA71" s="77" t="s">
        <v>1332</v>
      </c>
      <c r="AB71" s="88"/>
      <c r="AE71" s="958"/>
      <c r="AF71" s="644" t="s">
        <v>986</v>
      </c>
      <c r="AG71" s="958"/>
      <c r="AP71" s="88"/>
      <c r="AQ71" s="88"/>
      <c r="AR71" s="958"/>
      <c r="AS71" s="88"/>
      <c r="AT71" s="88"/>
      <c r="AU71" s="940" t="s">
        <v>1319</v>
      </c>
      <c r="AV71" s="930">
        <f>AV56*AW71</f>
        <v>2398555380.5167975</v>
      </c>
      <c r="AW71" s="931">
        <v>0.03</v>
      </c>
      <c r="AX71" s="898" t="s">
        <v>1358</v>
      </c>
      <c r="AY71" s="905"/>
      <c r="AZ71" s="936"/>
    </row>
    <row r="72" spans="3:83" x14ac:dyDescent="0.3">
      <c r="C72" s="158"/>
      <c r="D72" s="10"/>
      <c r="E72" s="10"/>
      <c r="F72" s="10"/>
      <c r="G72" s="159">
        <f>SUM(G53:G71)</f>
        <v>12014155377.998678</v>
      </c>
      <c r="H72" s="160"/>
      <c r="I72" s="172">
        <f>SUM(I53:I71)</f>
        <v>10530009350.999666</v>
      </c>
      <c r="J72" s="158"/>
      <c r="K72" s="481">
        <f>SUM(K53:K71)</f>
        <v>0</v>
      </c>
      <c r="L72" s="482">
        <f>AV34</f>
        <v>7.5082228965789453</v>
      </c>
      <c r="M72" s="480">
        <f>K72*L72</f>
        <v>0</v>
      </c>
      <c r="N72" s="239"/>
      <c r="O72" s="950">
        <f>AW53</f>
        <v>512</v>
      </c>
      <c r="P72" s="239"/>
      <c r="Q72" s="480">
        <f>M72*O72</f>
        <v>0</v>
      </c>
      <c r="R72" s="239"/>
      <c r="S72" s="956">
        <f>M72*S71</f>
        <v>0</v>
      </c>
      <c r="T72" s="239"/>
      <c r="U72" s="910">
        <f>Q72+S72</f>
        <v>0</v>
      </c>
      <c r="V72" s="949" t="s">
        <v>1330</v>
      </c>
      <c r="W72" s="910">
        <f>W69*W71</f>
        <v>1989164570.4746923</v>
      </c>
      <c r="X72" s="949" t="s">
        <v>1330</v>
      </c>
      <c r="Y72" s="910">
        <f>AV59+AV60+AV61+AV62+AV63</f>
        <v>19987961504.306648</v>
      </c>
      <c r="Z72" s="949" t="s">
        <v>1331</v>
      </c>
      <c r="AA72" s="910">
        <f>U72+W72+Y72</f>
        <v>21977126074.781342</v>
      </c>
      <c r="AB72" s="238"/>
      <c r="AC72" s="238"/>
      <c r="AD72" s="961"/>
      <c r="AE72" s="644" t="s">
        <v>805</v>
      </c>
      <c r="AF72" s="958"/>
      <c r="AG72" s="644" t="s">
        <v>987</v>
      </c>
      <c r="AH72" s="958"/>
      <c r="AI72" s="958"/>
      <c r="AJ72" s="958"/>
      <c r="AK72" s="958"/>
      <c r="AL72" s="958"/>
      <c r="AM72" s="958"/>
      <c r="AN72" s="958"/>
      <c r="AO72" s="958"/>
      <c r="AP72" s="958"/>
      <c r="AQ72" s="181"/>
      <c r="AR72" s="958"/>
      <c r="AS72" s="88"/>
      <c r="AT72" s="88"/>
      <c r="AU72" s="940" t="s">
        <v>1312</v>
      </c>
      <c r="AV72" s="930">
        <f>AV56*AW72</f>
        <v>2398555380.5167975</v>
      </c>
      <c r="AW72" s="931">
        <v>0.03</v>
      </c>
      <c r="AX72" s="898" t="s">
        <v>1359</v>
      </c>
      <c r="AY72" s="905"/>
      <c r="AZ72" s="812"/>
    </row>
    <row r="73" spans="3:83"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Q73" s="88"/>
      <c r="AR73" s="88"/>
      <c r="AS73" s="88"/>
      <c r="AT73" s="88"/>
      <c r="AU73" s="940" t="s">
        <v>1313</v>
      </c>
      <c r="AV73" s="930">
        <f>AV56*AW73</f>
        <v>1599036920.3445318</v>
      </c>
      <c r="AW73" s="931">
        <v>0.02</v>
      </c>
      <c r="AX73" s="898" t="s">
        <v>1361</v>
      </c>
      <c r="AY73" s="905"/>
      <c r="AZ73" s="255"/>
    </row>
    <row r="74" spans="3:83"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AQ74" s="88"/>
      <c r="AR74" s="252"/>
      <c r="AS74" s="252"/>
      <c r="AT74" s="252"/>
      <c r="AU74" s="940" t="s">
        <v>1324</v>
      </c>
      <c r="AV74" s="930">
        <f>AV56*AW74</f>
        <v>3997592300.86133</v>
      </c>
      <c r="AW74" s="931">
        <v>0.05</v>
      </c>
      <c r="AX74" s="898" t="s">
        <v>1439</v>
      </c>
      <c r="AY74" s="905"/>
      <c r="AZ74" s="255"/>
    </row>
    <row r="75" spans="3:83"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AQ75" s="88"/>
      <c r="AR75" s="252"/>
      <c r="AS75" s="88"/>
      <c r="AT75" s="88"/>
      <c r="AU75" s="940" t="s">
        <v>1306</v>
      </c>
      <c r="AV75" s="930">
        <f>AV56*AW75</f>
        <v>1599036920.3445318</v>
      </c>
      <c r="AW75" s="931">
        <v>0.02</v>
      </c>
      <c r="AX75" s="899" t="s">
        <v>1360</v>
      </c>
      <c r="AY75" s="932"/>
      <c r="AZ75" s="255"/>
    </row>
    <row r="76" spans="3:83" x14ac:dyDescent="0.3">
      <c r="R76" s="88"/>
      <c r="S76" s="252"/>
      <c r="T76" s="88"/>
      <c r="U76" s="88"/>
      <c r="V76" s="88"/>
      <c r="W76" s="88"/>
      <c r="X76" s="88"/>
      <c r="Y76" s="88"/>
      <c r="Z76" s="361" t="s">
        <v>1347</v>
      </c>
      <c r="AA76" s="736">
        <f>AA72</f>
        <v>21977126074.781342</v>
      </c>
      <c r="AB76" s="88"/>
      <c r="AD76" s="960">
        <f t="shared" si="30"/>
        <v>2018</v>
      </c>
      <c r="AE76" s="691">
        <f t="shared" si="31"/>
        <v>5717501250</v>
      </c>
      <c r="AF76" s="963">
        <f t="shared" si="28"/>
        <v>2.5000000000000001E-2</v>
      </c>
      <c r="AG76" s="691">
        <f t="shared" si="29"/>
        <v>142937531.25</v>
      </c>
      <c r="AQ76" s="88"/>
      <c r="AR76" s="252"/>
      <c r="AS76" s="88"/>
      <c r="AT76" s="88"/>
      <c r="AU76" s="941" t="s">
        <v>1309</v>
      </c>
      <c r="AV76" s="930">
        <f>AV56*AW76</f>
        <v>1599036920.3445318</v>
      </c>
      <c r="AW76" s="931">
        <v>0.02</v>
      </c>
      <c r="AX76" s="899" t="s">
        <v>1440</v>
      </c>
      <c r="AY76" s="932"/>
      <c r="AZ76" s="255"/>
    </row>
    <row r="77" spans="3:83"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Q77" s="88"/>
      <c r="AR77" s="88"/>
      <c r="AS77" s="88"/>
      <c r="AT77" s="88"/>
      <c r="AU77" s="940" t="s">
        <v>1310</v>
      </c>
      <c r="AV77" s="904">
        <f>AV56*AW77</f>
        <v>3997592300.86133</v>
      </c>
      <c r="AW77" s="1065">
        <v>0.05</v>
      </c>
      <c r="AX77" s="898" t="s">
        <v>1362</v>
      </c>
      <c r="AY77" s="905"/>
      <c r="AZ77" s="255"/>
    </row>
    <row r="78" spans="3:83" x14ac:dyDescent="0.3">
      <c r="R78" s="88"/>
      <c r="S78" s="252"/>
      <c r="T78" s="88"/>
      <c r="U78" s="88"/>
      <c r="V78" s="88"/>
      <c r="W78" s="88"/>
      <c r="X78" s="88"/>
      <c r="Y78" s="88"/>
      <c r="Z78" s="555" t="s">
        <v>1333</v>
      </c>
      <c r="AA78" s="957">
        <f>AA72/W72</f>
        <v>11.048420226757177</v>
      </c>
      <c r="AB78" s="252"/>
      <c r="AD78" s="960">
        <f t="shared" ref="AD78:AD106" si="32">AD77+1</f>
        <v>2020</v>
      </c>
      <c r="AE78" s="691">
        <f t="shared" si="31"/>
        <v>6006949750.78125</v>
      </c>
      <c r="AF78" s="963">
        <f t="shared" si="28"/>
        <v>2.5000000000000001E-2</v>
      </c>
      <c r="AG78" s="691">
        <f t="shared" si="29"/>
        <v>150173743.76953125</v>
      </c>
      <c r="AQ78" s="88"/>
      <c r="AR78" s="88"/>
      <c r="AS78" s="88"/>
      <c r="AT78" s="88"/>
      <c r="AU78" s="940" t="s">
        <v>1452</v>
      </c>
      <c r="AV78" s="904">
        <f>AV56*AW78</f>
        <v>3997592300.86133</v>
      </c>
      <c r="AW78" s="1065">
        <v>0.05</v>
      </c>
      <c r="AX78" s="898" t="s">
        <v>1450</v>
      </c>
      <c r="AY78" s="905"/>
      <c r="AZ78" s="255"/>
    </row>
    <row r="79" spans="3:83"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AQ79" s="88"/>
      <c r="AR79" s="88"/>
      <c r="AS79" s="88"/>
      <c r="AT79" s="88"/>
      <c r="AU79" s="940" t="s">
        <v>1454</v>
      </c>
      <c r="AV79" s="904">
        <f>AV56*AW79</f>
        <v>7995184601.7226601</v>
      </c>
      <c r="AW79" s="1065">
        <v>0.1</v>
      </c>
      <c r="AX79" s="898" t="s">
        <v>1455</v>
      </c>
      <c r="AY79" s="905"/>
      <c r="AZ79" s="255"/>
    </row>
    <row r="80" spans="3:83"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AQ80" s="88"/>
      <c r="AR80" s="88"/>
      <c r="AS80" s="88"/>
      <c r="AT80" s="88"/>
      <c r="AU80" s="940" t="s">
        <v>1326</v>
      </c>
      <c r="AV80" s="904">
        <f>AV56*AW80</f>
        <v>2398555380.5167975</v>
      </c>
      <c r="AW80" s="1065">
        <v>0.03</v>
      </c>
      <c r="AX80" s="898" t="s">
        <v>1348</v>
      </c>
      <c r="AY80" s="905"/>
      <c r="AZ80" s="251"/>
    </row>
    <row r="81" spans="18:53"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AQ81" s="88"/>
      <c r="AR81" s="88"/>
      <c r="AS81" s="88"/>
      <c r="AT81" s="88"/>
      <c r="AU81" s="940" t="s">
        <v>1298</v>
      </c>
      <c r="AV81" s="930">
        <f>AV56*AW81</f>
        <v>2398555380.5167975</v>
      </c>
      <c r="AW81" s="931">
        <v>0.03</v>
      </c>
      <c r="AX81" s="898" t="s">
        <v>1363</v>
      </c>
      <c r="AY81" s="905"/>
      <c r="AZ81" s="251"/>
    </row>
    <row r="82" spans="18:53"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AQ82" s="88"/>
      <c r="AR82" s="88"/>
      <c r="AS82" s="88"/>
      <c r="AT82" s="88"/>
      <c r="AU82" s="942"/>
      <c r="AV82" s="1067"/>
      <c r="AW82" s="1068">
        <f>SUM(AW58:AW81)</f>
        <v>0.95752173121044637</v>
      </c>
      <c r="AX82" s="1069"/>
      <c r="AY82" s="1070"/>
      <c r="AZ82" s="251"/>
    </row>
    <row r="83" spans="18:53"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AQ83" s="88"/>
      <c r="AR83" s="88"/>
      <c r="AS83" s="88"/>
      <c r="AT83" s="88"/>
      <c r="AU83" s="941" t="s">
        <v>1321</v>
      </c>
      <c r="AV83" s="904">
        <f>AV56*AW83</f>
        <v>3396216005.340754</v>
      </c>
      <c r="AW83" s="1065">
        <f>100%-AW82</f>
        <v>4.247826878955363E-2</v>
      </c>
      <c r="AX83" s="898" t="s">
        <v>148</v>
      </c>
      <c r="AY83" s="905"/>
      <c r="AZ83" s="251"/>
    </row>
    <row r="84" spans="18:53"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AQ84" s="88"/>
      <c r="AR84" s="88"/>
      <c r="AS84" s="88"/>
      <c r="AT84" s="88"/>
      <c r="AU84" s="943" t="s">
        <v>1322</v>
      </c>
      <c r="AV84" s="1071">
        <f>SUM(AV58:AV83)</f>
        <v>79951846017.226563</v>
      </c>
      <c r="AW84" s="1072">
        <f>AW82+AW83</f>
        <v>1</v>
      </c>
      <c r="AX84" s="1073" t="s">
        <v>59</v>
      </c>
      <c r="AY84" s="1074"/>
      <c r="AZ84" s="251"/>
    </row>
    <row r="85" spans="18:53" x14ac:dyDescent="0.3">
      <c r="R85" s="88"/>
      <c r="S85" s="88"/>
      <c r="T85" s="88"/>
      <c r="U85" s="88"/>
      <c r="V85" s="88"/>
      <c r="AD85" s="960">
        <f t="shared" si="32"/>
        <v>2027</v>
      </c>
      <c r="AE85" s="691">
        <f t="shared" si="31"/>
        <v>7140375591.7544937</v>
      </c>
      <c r="AF85" s="963">
        <f t="shared" si="28"/>
        <v>2.5000000000000001E-2</v>
      </c>
      <c r="AG85" s="691">
        <f t="shared" si="29"/>
        <v>178509389.79386234</v>
      </c>
      <c r="AQ85" s="88"/>
      <c r="AR85" s="88"/>
      <c r="AS85" s="88"/>
      <c r="AT85" s="88"/>
      <c r="AU85" s="943" t="s">
        <v>1329</v>
      </c>
      <c r="AV85" s="179">
        <f>AV59+AV60+AV61+AV62+AV63</f>
        <v>19987961504.306648</v>
      </c>
      <c r="AW85" s="160"/>
      <c r="AX85" s="160" t="s">
        <v>1364</v>
      </c>
      <c r="AY85" s="303"/>
      <c r="AZ85" s="251"/>
    </row>
    <row r="86" spans="18:53" x14ac:dyDescent="0.3">
      <c r="AD86" s="960">
        <f t="shared" si="32"/>
        <v>2028</v>
      </c>
      <c r="AE86" s="691">
        <f t="shared" si="31"/>
        <v>7318884981.5483561</v>
      </c>
      <c r="AF86" s="963">
        <f t="shared" si="28"/>
        <v>2.5000000000000001E-2</v>
      </c>
      <c r="AG86" s="691">
        <f t="shared" si="29"/>
        <v>182972124.53870893</v>
      </c>
      <c r="AQ86" s="88"/>
      <c r="AR86" s="88"/>
      <c r="AS86" s="88"/>
      <c r="AT86" s="88"/>
      <c r="AU86" s="364"/>
      <c r="AV86" s="1075"/>
      <c r="AW86" s="1076"/>
      <c r="AX86" s="1076"/>
      <c r="AY86" s="1077"/>
      <c r="AZ86" s="251"/>
    </row>
    <row r="87" spans="18:53" x14ac:dyDescent="0.3">
      <c r="AD87" s="960">
        <f t="shared" si="32"/>
        <v>2029</v>
      </c>
      <c r="AE87" s="691">
        <f t="shared" si="31"/>
        <v>7501857106.0870647</v>
      </c>
      <c r="AF87" s="963">
        <f t="shared" si="28"/>
        <v>2.5000000000000001E-2</v>
      </c>
      <c r="AG87" s="691">
        <f t="shared" si="29"/>
        <v>187546427.65217662</v>
      </c>
      <c r="AQ87" s="88"/>
      <c r="AR87" s="88"/>
      <c r="AS87" s="88"/>
      <c r="AT87" s="88"/>
      <c r="AU87" s="1007" t="s">
        <v>1336</v>
      </c>
      <c r="AV87" s="1066">
        <f>AA72</f>
        <v>21977126074.781342</v>
      </c>
      <c r="AW87" s="251" t="s">
        <v>1335</v>
      </c>
      <c r="AX87" s="251"/>
      <c r="AY87" s="251"/>
      <c r="AZ87" s="251"/>
    </row>
    <row r="88" spans="18:53" x14ac:dyDescent="0.3">
      <c r="AD88" s="960">
        <f t="shared" si="32"/>
        <v>2030</v>
      </c>
      <c r="AE88" s="691">
        <f t="shared" si="31"/>
        <v>7689403533.7392416</v>
      </c>
      <c r="AF88" s="963">
        <f t="shared" si="28"/>
        <v>2.5000000000000001E-2</v>
      </c>
      <c r="AG88" s="691">
        <f t="shared" si="29"/>
        <v>192235088.34348106</v>
      </c>
      <c r="AQ88" s="88"/>
      <c r="AR88" s="88"/>
      <c r="AS88" s="88"/>
      <c r="AT88" s="88"/>
      <c r="AU88" s="1008" t="s">
        <v>1337</v>
      </c>
      <c r="AV88" s="1009">
        <f>W72</f>
        <v>1989164570.4746923</v>
      </c>
      <c r="AW88" s="898" t="s">
        <v>1338</v>
      </c>
      <c r="AX88" s="898"/>
      <c r="AY88" s="251"/>
      <c r="AZ88" s="251"/>
    </row>
    <row r="89" spans="18:53" x14ac:dyDescent="0.3">
      <c r="AD89" s="960">
        <f t="shared" si="32"/>
        <v>2031</v>
      </c>
      <c r="AE89" s="691">
        <f t="shared" si="31"/>
        <v>7881638622.0827227</v>
      </c>
      <c r="AF89" s="963">
        <f t="shared" si="28"/>
        <v>2.5000000000000001E-2</v>
      </c>
      <c r="AG89" s="691">
        <f t="shared" si="29"/>
        <v>197040965.55206808</v>
      </c>
      <c r="AQ89" s="88"/>
      <c r="AR89" s="88"/>
      <c r="AS89" s="88"/>
      <c r="AT89" s="88"/>
      <c r="AU89" s="106"/>
      <c r="AV89" s="745"/>
      <c r="AW89" s="251"/>
      <c r="AX89" s="251"/>
      <c r="AY89" s="251"/>
      <c r="AZ89" s="251"/>
      <c r="BA89" s="252"/>
    </row>
    <row r="90" spans="18:53" x14ac:dyDescent="0.3">
      <c r="AD90" s="960">
        <f t="shared" si="32"/>
        <v>2032</v>
      </c>
      <c r="AE90" s="691">
        <f t="shared" si="31"/>
        <v>8078679587.6347904</v>
      </c>
      <c r="AF90" s="963">
        <f t="shared" si="28"/>
        <v>2.5000000000000001E-2</v>
      </c>
      <c r="AG90" s="691">
        <f t="shared" si="29"/>
        <v>201966989.69086978</v>
      </c>
      <c r="AQ90" s="88"/>
      <c r="AR90" s="88"/>
      <c r="AS90" s="88"/>
      <c r="AT90" s="88"/>
      <c r="AV90" s="999" t="s">
        <v>1355</v>
      </c>
      <c r="AW90" s="252"/>
      <c r="AX90" s="252"/>
      <c r="AY90" s="252"/>
      <c r="AZ90" s="252"/>
      <c r="BA90" s="252"/>
    </row>
    <row r="91" spans="18:53" x14ac:dyDescent="0.3">
      <c r="AD91" s="960">
        <f t="shared" si="32"/>
        <v>2033</v>
      </c>
      <c r="AE91" s="691">
        <f t="shared" si="31"/>
        <v>8280646577.3256598</v>
      </c>
      <c r="AF91" s="963">
        <f t="shared" si="28"/>
        <v>2.5000000000000001E-2</v>
      </c>
      <c r="AG91" s="691">
        <f t="shared" si="29"/>
        <v>207016164.4331415</v>
      </c>
      <c r="AQ91" s="88"/>
      <c r="AR91" s="88"/>
      <c r="AS91" s="88"/>
      <c r="AT91" s="88"/>
      <c r="AW91" s="252"/>
      <c r="AX91" s="252"/>
      <c r="AY91" s="252"/>
      <c r="AZ91" s="252"/>
      <c r="BA91" s="252"/>
    </row>
    <row r="92" spans="18:53" x14ac:dyDescent="0.3">
      <c r="AD92" s="960">
        <f t="shared" si="32"/>
        <v>2034</v>
      </c>
      <c r="AE92" s="691">
        <f t="shared" si="31"/>
        <v>8487662741.7588015</v>
      </c>
      <c r="AF92" s="963">
        <f t="shared" si="28"/>
        <v>2.5000000000000001E-2</v>
      </c>
      <c r="AG92" s="691">
        <f t="shared" si="29"/>
        <v>212191568.54397005</v>
      </c>
      <c r="AQ92" s="88"/>
      <c r="AR92" s="88"/>
      <c r="AS92" s="88"/>
      <c r="AT92" s="252"/>
      <c r="AW92" s="252"/>
      <c r="AX92" s="252"/>
      <c r="AY92" s="252"/>
      <c r="AZ92" s="252"/>
      <c r="BA92" s="252"/>
    </row>
    <row r="93" spans="18:53" x14ac:dyDescent="0.3">
      <c r="AD93" s="960">
        <f t="shared" si="32"/>
        <v>2035</v>
      </c>
      <c r="AE93" s="691">
        <f t="shared" si="31"/>
        <v>8699854310.3027706</v>
      </c>
      <c r="AF93" s="963">
        <f t="shared" si="28"/>
        <v>2.5000000000000001E-2</v>
      </c>
      <c r="AG93" s="691">
        <f t="shared" si="29"/>
        <v>217496357.75756928</v>
      </c>
      <c r="AW93" s="252"/>
      <c r="AX93" s="252"/>
      <c r="AY93" s="252"/>
      <c r="AZ93" s="252"/>
      <c r="BA93" s="252"/>
    </row>
    <row r="94" spans="18:53" x14ac:dyDescent="0.3">
      <c r="AD94" s="960">
        <f t="shared" si="32"/>
        <v>2036</v>
      </c>
      <c r="AE94" s="691">
        <f t="shared" si="31"/>
        <v>8917350668.060339</v>
      </c>
      <c r="AF94" s="963">
        <f t="shared" si="28"/>
        <v>2.5000000000000001E-2</v>
      </c>
      <c r="AG94" s="691">
        <f t="shared" si="29"/>
        <v>222933766.70150849</v>
      </c>
      <c r="AW94" s="252"/>
      <c r="AX94" s="252"/>
      <c r="AY94" s="252"/>
      <c r="AZ94" s="252"/>
      <c r="BA94" s="252"/>
    </row>
    <row r="95" spans="18:53" x14ac:dyDescent="0.3">
      <c r="AD95" s="960">
        <f t="shared" si="32"/>
        <v>2037</v>
      </c>
      <c r="AE95" s="691">
        <f t="shared" si="31"/>
        <v>9140284434.7618465</v>
      </c>
      <c r="AF95" s="963">
        <f t="shared" si="28"/>
        <v>2.5000000000000001E-2</v>
      </c>
      <c r="AG95" s="691">
        <f t="shared" si="29"/>
        <v>228507110.86904618</v>
      </c>
      <c r="AW95" s="252"/>
      <c r="AX95" s="252"/>
      <c r="AY95" s="252"/>
      <c r="AZ95" s="252"/>
      <c r="BA95" s="252"/>
    </row>
    <row r="96" spans="18:53" x14ac:dyDescent="0.3">
      <c r="AD96" s="960">
        <f t="shared" si="32"/>
        <v>2038</v>
      </c>
      <c r="AE96" s="691">
        <f t="shared" si="31"/>
        <v>9368791545.6308918</v>
      </c>
      <c r="AF96" s="963">
        <f t="shared" si="28"/>
        <v>2.5000000000000001E-2</v>
      </c>
      <c r="AG96" s="691">
        <f t="shared" si="29"/>
        <v>234219788.64077231</v>
      </c>
      <c r="AW96" s="252"/>
      <c r="AX96" s="252"/>
      <c r="AY96" s="252"/>
      <c r="AZ96" s="252"/>
      <c r="BA96" s="252"/>
    </row>
    <row r="97" spans="30:53" x14ac:dyDescent="0.3">
      <c r="AD97" s="960">
        <f t="shared" si="32"/>
        <v>2039</v>
      </c>
      <c r="AE97" s="691">
        <f t="shared" si="31"/>
        <v>9603011334.2716637</v>
      </c>
      <c r="AF97" s="963">
        <f t="shared" si="28"/>
        <v>2.5000000000000001E-2</v>
      </c>
      <c r="AG97" s="691">
        <f t="shared" si="29"/>
        <v>240075283.35679162</v>
      </c>
      <c r="AW97" s="252"/>
      <c r="AX97" s="252"/>
      <c r="AY97" s="252"/>
      <c r="AZ97" s="252"/>
      <c r="BA97" s="252"/>
    </row>
    <row r="98" spans="30:53" x14ac:dyDescent="0.3">
      <c r="AD98" s="960">
        <f t="shared" si="32"/>
        <v>2040</v>
      </c>
      <c r="AE98" s="691">
        <f t="shared" si="31"/>
        <v>9843086617.6284561</v>
      </c>
      <c r="AF98" s="963">
        <f t="shared" si="28"/>
        <v>2.5000000000000001E-2</v>
      </c>
      <c r="AG98" s="691">
        <f t="shared" si="29"/>
        <v>246077165.44071141</v>
      </c>
    </row>
    <row r="99" spans="30:53" x14ac:dyDescent="0.3">
      <c r="AD99" s="960">
        <f t="shared" si="32"/>
        <v>2041</v>
      </c>
      <c r="AE99" s="691">
        <f t="shared" si="31"/>
        <v>10089163783.069168</v>
      </c>
      <c r="AF99" s="963">
        <f t="shared" si="28"/>
        <v>2.5000000000000001E-2</v>
      </c>
      <c r="AG99" s="691">
        <f t="shared" si="29"/>
        <v>252229094.57672921</v>
      </c>
    </row>
    <row r="100" spans="30:53" x14ac:dyDescent="0.3">
      <c r="AD100" s="960">
        <f t="shared" si="32"/>
        <v>2042</v>
      </c>
      <c r="AE100" s="691">
        <f t="shared" si="31"/>
        <v>10341392877.645897</v>
      </c>
      <c r="AF100" s="963">
        <f t="shared" si="28"/>
        <v>2.5000000000000001E-2</v>
      </c>
      <c r="AG100" s="691">
        <f t="shared" si="29"/>
        <v>258534821.94114745</v>
      </c>
    </row>
    <row r="101" spans="30:53" x14ac:dyDescent="0.3">
      <c r="AD101" s="960">
        <f t="shared" si="32"/>
        <v>2043</v>
      </c>
      <c r="AE101" s="691">
        <f t="shared" si="31"/>
        <v>10599927699.587044</v>
      </c>
      <c r="AF101" s="963">
        <f t="shared" si="28"/>
        <v>2.5000000000000001E-2</v>
      </c>
      <c r="AG101" s="691">
        <f t="shared" si="29"/>
        <v>264998192.48967612</v>
      </c>
    </row>
    <row r="102" spans="30:53" x14ac:dyDescent="0.3">
      <c r="AD102" s="960">
        <f t="shared" si="32"/>
        <v>2044</v>
      </c>
      <c r="AE102" s="691">
        <f t="shared" si="31"/>
        <v>10864925892.076719</v>
      </c>
      <c r="AF102" s="963">
        <f t="shared" si="28"/>
        <v>2.5000000000000001E-2</v>
      </c>
      <c r="AG102" s="691">
        <f t="shared" si="29"/>
        <v>271623147.30191797</v>
      </c>
    </row>
    <row r="103" spans="30:53" x14ac:dyDescent="0.3">
      <c r="AD103" s="960">
        <f t="shared" si="32"/>
        <v>2045</v>
      </c>
      <c r="AE103" s="691">
        <f t="shared" si="31"/>
        <v>11136549039.378637</v>
      </c>
      <c r="AF103" s="963">
        <f t="shared" si="28"/>
        <v>2.5000000000000001E-2</v>
      </c>
      <c r="AG103" s="691">
        <f t="shared" si="29"/>
        <v>278413725.98446596</v>
      </c>
    </row>
    <row r="104" spans="30:53" x14ac:dyDescent="0.3">
      <c r="AD104" s="960">
        <f t="shared" si="32"/>
        <v>2046</v>
      </c>
      <c r="AE104" s="691">
        <f t="shared" si="31"/>
        <v>11414962765.363104</v>
      </c>
      <c r="AF104" s="963">
        <f t="shared" si="28"/>
        <v>2.5000000000000001E-2</v>
      </c>
      <c r="AG104" s="691">
        <f t="shared" si="29"/>
        <v>285374069.13407761</v>
      </c>
    </row>
    <row r="105" spans="30:53" x14ac:dyDescent="0.3">
      <c r="AD105" s="960">
        <f t="shared" si="32"/>
        <v>2047</v>
      </c>
      <c r="AE105" s="691">
        <f t="shared" si="31"/>
        <v>11700336834.497181</v>
      </c>
      <c r="AF105" s="963">
        <f t="shared" si="28"/>
        <v>2.5000000000000001E-2</v>
      </c>
      <c r="AG105" s="691">
        <f t="shared" si="29"/>
        <v>292508420.86242956</v>
      </c>
    </row>
    <row r="106" spans="30:53"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95F5-E81F-4509-A474-643227F945EE}">
  <dimension ref="A2:CO106"/>
  <sheetViews>
    <sheetView showGridLines="0" topLeftCell="AZ66" workbookViewId="0">
      <selection activeCell="BG39" sqref="BD39:BG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0.33203125" style="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47" width="20.21875" style="1" customWidth="1"/>
    <col min="48" max="48" width="8.88671875" style="1"/>
    <col min="49" max="49" width="21.33203125" style="1" bestFit="1" customWidth="1"/>
    <col min="50" max="50" width="8.88671875" style="1"/>
    <col min="51" max="51" width="19.109375" style="1" bestFit="1" customWidth="1"/>
    <col min="52" max="52" width="8.88671875" style="1"/>
    <col min="53" max="53" width="23.6640625" style="1" customWidth="1"/>
    <col min="54" max="54" width="9.44140625" style="1" bestFit="1" customWidth="1"/>
    <col min="55" max="55" width="36.44140625" style="1" customWidth="1"/>
    <col min="56" max="56" width="28" style="1" bestFit="1" customWidth="1"/>
    <col min="57" max="57" width="11.109375" style="1" bestFit="1" customWidth="1"/>
    <col min="58" max="58" width="22.109375" style="1" customWidth="1"/>
    <col min="59" max="59" width="35.6640625" style="1" customWidth="1"/>
    <col min="60" max="60" width="39.109375" style="1" bestFit="1" customWidth="1"/>
    <col min="61" max="61" width="22.77734375" style="1" customWidth="1"/>
    <col min="62" max="62" width="24.21875" style="1" bestFit="1" customWidth="1"/>
    <col min="63" max="63" width="8.88671875" style="1"/>
    <col min="64" max="64" width="21.44140625" style="1" bestFit="1" customWidth="1"/>
    <col min="65" max="65" width="8.88671875" style="1"/>
    <col min="66" max="66" width="9.33203125" style="1" customWidth="1"/>
    <col min="67" max="68" width="8.88671875" style="1"/>
    <col min="69" max="69" width="8.88671875" style="1" customWidth="1"/>
    <col min="70" max="70" width="19.6640625" style="1" customWidth="1"/>
    <col min="71" max="71" width="11.109375" style="1" bestFit="1" customWidth="1"/>
    <col min="72" max="72" width="29.5546875" style="1" bestFit="1" customWidth="1"/>
    <col min="73" max="73" width="8.88671875" style="1"/>
    <col min="74" max="74" width="23.109375" style="1" bestFit="1" customWidth="1"/>
    <col min="75" max="75" width="16.88671875" style="12" customWidth="1"/>
    <col min="76" max="76" width="22.44140625" style="1" bestFit="1" customWidth="1"/>
    <col min="77" max="77" width="7.109375" style="1" customWidth="1"/>
    <col min="78" max="78" width="20.21875" style="1" customWidth="1"/>
    <col min="79" max="79" width="9.109375" style="12" customWidth="1"/>
    <col min="80" max="80" width="19.109375" style="1" bestFit="1" customWidth="1"/>
    <col min="81" max="82" width="8.88671875" style="1"/>
    <col min="83" max="83" width="20.6640625" style="1" customWidth="1"/>
    <col min="84" max="84" width="3.6640625" style="1" customWidth="1"/>
    <col min="85" max="86" width="21.88671875" style="1" customWidth="1"/>
    <col min="87" max="87" width="8" style="1" customWidth="1"/>
    <col min="88" max="88" width="21.44140625" style="1" customWidth="1"/>
    <col min="89" max="89" width="19.109375" style="1" bestFit="1" customWidth="1"/>
    <col min="90" max="90" width="25.33203125" style="690" customWidth="1"/>
    <col min="91" max="91" width="8.88671875" style="12"/>
    <col min="92" max="92" width="8.88671875" style="1"/>
    <col min="93" max="93" width="17.44140625" style="1" bestFit="1" customWidth="1"/>
    <col min="94" max="16384" width="8.88671875" style="1"/>
  </cols>
  <sheetData>
    <row r="2" spans="1:91"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W2" s="916"/>
      <c r="CA2" s="916"/>
      <c r="CL2" s="917"/>
      <c r="CM2" s="916"/>
    </row>
    <row r="3" spans="1:91" ht="25.95" customHeight="1" x14ac:dyDescent="0.5">
      <c r="C3" s="570" t="s">
        <v>1446</v>
      </c>
      <c r="F3" s="1081"/>
      <c r="G3" s="648"/>
      <c r="BD3" s="999" t="s">
        <v>1355</v>
      </c>
    </row>
    <row r="4" spans="1:91"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row>
    <row r="5" spans="1:91" ht="18.600000000000001" x14ac:dyDescent="0.45">
      <c r="C5" s="37" t="s">
        <v>972</v>
      </c>
      <c r="D5" s="619"/>
      <c r="E5" s="408">
        <f>E11</f>
        <v>7369613661.264904</v>
      </c>
      <c r="F5" s="1082">
        <v>1</v>
      </c>
      <c r="G5" s="408">
        <f>E5*F5</f>
        <v>7369613661.264904</v>
      </c>
      <c r="H5" s="409">
        <v>0.94</v>
      </c>
      <c r="I5" s="408">
        <f>G5*H5</f>
        <v>6927436841.5890093</v>
      </c>
      <c r="J5" s="409">
        <v>1</v>
      </c>
      <c r="K5" s="408">
        <f>I5*J5</f>
        <v>6927436841.5890093</v>
      </c>
      <c r="L5" s="409">
        <f>H5</f>
        <v>0.94</v>
      </c>
      <c r="M5" s="408">
        <f>K5*L5</f>
        <v>6511790631.093668</v>
      </c>
      <c r="N5" s="409">
        <f>J5</f>
        <v>1</v>
      </c>
      <c r="O5" s="408">
        <f>M5*N5</f>
        <v>6511790631.093668</v>
      </c>
      <c r="P5" s="409">
        <f>L5</f>
        <v>0.94</v>
      </c>
      <c r="Q5" s="408">
        <f>O5*P5</f>
        <v>6121083193.2280474</v>
      </c>
      <c r="R5" s="409">
        <f>N5</f>
        <v>1</v>
      </c>
      <c r="S5" s="408">
        <f>Q5*R5</f>
        <v>6121083193.2280474</v>
      </c>
      <c r="T5" s="409">
        <f>P5</f>
        <v>0.94</v>
      </c>
      <c r="U5" s="408">
        <f>S5*T5</f>
        <v>5753818201.6343641</v>
      </c>
      <c r="V5" s="409">
        <f>R5</f>
        <v>1</v>
      </c>
      <c r="W5" s="408">
        <f>U5*V5</f>
        <v>5753818201.6343641</v>
      </c>
      <c r="X5" s="409">
        <f>T5</f>
        <v>0.94</v>
      </c>
      <c r="Y5" s="408">
        <f>W5*X5</f>
        <v>5408589109.5363016</v>
      </c>
      <c r="Z5" s="409">
        <f>V5</f>
        <v>1</v>
      </c>
      <c r="AA5" s="408">
        <f>Y5*Z5</f>
        <v>5408589109.5363016</v>
      </c>
      <c r="AB5" s="409">
        <f>X5</f>
        <v>0.94</v>
      </c>
      <c r="AC5" s="408">
        <f>AA5*AB5</f>
        <v>5084073762.9641228</v>
      </c>
      <c r="AD5" s="409">
        <f>Z5</f>
        <v>1</v>
      </c>
      <c r="AE5" s="408">
        <f>AC5*AD5</f>
        <v>5084073762.9641228</v>
      </c>
      <c r="AF5" s="409">
        <f>AB5</f>
        <v>0.94</v>
      </c>
      <c r="AG5" s="408">
        <f>AE5*AF5</f>
        <v>4779029337.1862755</v>
      </c>
      <c r="AH5" s="409">
        <f>AD5</f>
        <v>1</v>
      </c>
      <c r="AI5" s="408">
        <f>AG5*AH5</f>
        <v>4779029337.1862755</v>
      </c>
      <c r="AJ5" s="409">
        <f>AF5</f>
        <v>0.94</v>
      </c>
      <c r="AK5" s="408">
        <f>AI5*AJ5</f>
        <v>4492287576.9550991</v>
      </c>
      <c r="AL5" s="409">
        <f>AH5</f>
        <v>1</v>
      </c>
      <c r="AM5" s="408">
        <f>AK5*AL5</f>
        <v>4492287576.9550991</v>
      </c>
      <c r="AN5" s="409">
        <f>AJ5</f>
        <v>0.94</v>
      </c>
      <c r="AO5" s="408">
        <f>AM5*AN5</f>
        <v>4222750322.3377929</v>
      </c>
      <c r="AP5" s="409">
        <f>AL5</f>
        <v>1</v>
      </c>
      <c r="AQ5" s="408">
        <f>AO5*AP5</f>
        <v>4222750322.3377929</v>
      </c>
      <c r="AR5" s="409">
        <f>AN5</f>
        <v>0.94</v>
      </c>
      <c r="AS5" s="408">
        <f>AQ5*AR5</f>
        <v>3969385302.9975252</v>
      </c>
      <c r="AT5" s="409">
        <f>AP5</f>
        <v>1</v>
      </c>
      <c r="AU5" s="408">
        <f>AS5*AT5</f>
        <v>3969385302.9975252</v>
      </c>
      <c r="AV5" s="409">
        <f>AB5</f>
        <v>0.94</v>
      </c>
      <c r="AW5" s="408">
        <f>AU5*AV5</f>
        <v>3731222184.8176737</v>
      </c>
      <c r="AX5" s="409">
        <f>AD5</f>
        <v>1</v>
      </c>
      <c r="AY5" s="408">
        <f>AW5*AX5</f>
        <v>3731222184.8176737</v>
      </c>
      <c r="AZ5" s="409">
        <f>AV5</f>
        <v>0.94</v>
      </c>
      <c r="BA5" s="408">
        <f>AY5*AZ5</f>
        <v>3507348853.7286129</v>
      </c>
      <c r="BB5" s="409">
        <f>AX5</f>
        <v>1</v>
      </c>
      <c r="BC5" s="408">
        <f>BA5*BB5</f>
        <v>3507348853.7286129</v>
      </c>
      <c r="BD5" s="719">
        <f>G5+I5+M5+Q5+U5+Y5+AC5+AG5+AK5+AO5+AS5+AW5+BA5</f>
        <v>67878428979.333397</v>
      </c>
      <c r="BF5" s="621">
        <f>AZ5</f>
        <v>0.94</v>
      </c>
      <c r="BG5" s="622">
        <f>BC5*BF5</f>
        <v>3296907922.5048962</v>
      </c>
      <c r="BH5" s="626"/>
      <c r="BI5" s="626"/>
      <c r="BJ5" s="627"/>
    </row>
    <row r="6" spans="1:91" x14ac:dyDescent="0.3">
      <c r="F6" s="1081"/>
      <c r="BD6" s="93"/>
      <c r="BJ6" s="628"/>
    </row>
    <row r="7" spans="1:91"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462" t="s">
        <v>749</v>
      </c>
      <c r="AW7" s="170" t="s">
        <v>1459</v>
      </c>
      <c r="AX7" s="175" t="s">
        <v>297</v>
      </c>
      <c r="AY7" s="170" t="s">
        <v>59</v>
      </c>
      <c r="AZ7" s="301" t="s">
        <v>749</v>
      </c>
      <c r="BA7" s="121" t="s">
        <v>1460</v>
      </c>
      <c r="BB7" s="173" t="s">
        <v>297</v>
      </c>
      <c r="BC7" s="121" t="s">
        <v>59</v>
      </c>
      <c r="BD7" s="121" t="s">
        <v>1457</v>
      </c>
      <c r="BF7" s="588" t="s">
        <v>1367</v>
      </c>
      <c r="BG7" s="121" t="s">
        <v>1372</v>
      </c>
      <c r="BJ7" s="628"/>
    </row>
    <row r="8" spans="1:91" x14ac:dyDescent="0.3">
      <c r="B8" s="584"/>
      <c r="C8" s="7"/>
      <c r="E8" s="875">
        <f>BD47</f>
        <v>14739227322.529808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586" t="s">
        <v>1371</v>
      </c>
      <c r="AW8" s="470"/>
      <c r="AX8" s="471"/>
      <c r="AY8" s="470"/>
      <c r="AZ8" s="587" t="s">
        <v>1371</v>
      </c>
      <c r="BA8" s="303"/>
      <c r="BB8" s="179"/>
      <c r="BC8" s="303"/>
      <c r="BD8" s="126"/>
      <c r="BF8" s="589" t="s">
        <v>1371</v>
      </c>
      <c r="BG8" s="303"/>
      <c r="BJ8" s="628"/>
    </row>
    <row r="9" spans="1:91"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122"/>
      <c r="BA9" s="459" t="s">
        <v>282</v>
      </c>
      <c r="BB9" s="122"/>
      <c r="BC9" s="8"/>
      <c r="BD9" s="126"/>
      <c r="BF9" s="122"/>
      <c r="BG9" s="459" t="s">
        <v>282</v>
      </c>
      <c r="BJ9" s="628"/>
    </row>
    <row r="10" spans="1:91" ht="16.2" thickBot="1" x14ac:dyDescent="0.35">
      <c r="B10" s="585"/>
      <c r="C10" s="1211"/>
      <c r="D10" s="630" t="s">
        <v>953</v>
      </c>
      <c r="E10" s="994">
        <f>BE53</f>
        <v>1024</v>
      </c>
      <c r="F10" s="1085">
        <v>0.25</v>
      </c>
      <c r="G10" s="130">
        <f>E14*F10</f>
        <v>204789399.96951148</v>
      </c>
      <c r="H10" s="460">
        <v>0.5</v>
      </c>
      <c r="I10" s="130">
        <f>G10*H10</f>
        <v>102394699.98475574</v>
      </c>
      <c r="J10" s="460">
        <v>1</v>
      </c>
      <c r="K10" s="458">
        <f>I10*J10</f>
        <v>102394699.98475574</v>
      </c>
      <c r="L10" s="129">
        <f>H10</f>
        <v>0.5</v>
      </c>
      <c r="M10" s="458">
        <f>K10*L10</f>
        <v>51197349.99237787</v>
      </c>
      <c r="N10" s="129">
        <f>J10</f>
        <v>1</v>
      </c>
      <c r="O10" s="458">
        <f>M10*N10</f>
        <v>51197349.99237787</v>
      </c>
      <c r="P10" s="129">
        <f>L10</f>
        <v>0.5</v>
      </c>
      <c r="Q10" s="458">
        <f>O10*P10</f>
        <v>25598674.996188935</v>
      </c>
      <c r="R10" s="129">
        <f>N10</f>
        <v>1</v>
      </c>
      <c r="S10" s="458">
        <f>Q10*R10</f>
        <v>25598674.996188935</v>
      </c>
      <c r="T10" s="129">
        <f>P10</f>
        <v>0.5</v>
      </c>
      <c r="U10" s="458">
        <f>S10*T10</f>
        <v>12799337.498094467</v>
      </c>
      <c r="V10" s="129">
        <f>R10</f>
        <v>1</v>
      </c>
      <c r="W10" s="458">
        <f>U10*V10</f>
        <v>12799337.498094467</v>
      </c>
      <c r="X10" s="129">
        <f>T10</f>
        <v>0.5</v>
      </c>
      <c r="Y10" s="458">
        <f>W10*X10</f>
        <v>6399668.7490472337</v>
      </c>
      <c r="Z10" s="129">
        <f>V10</f>
        <v>1</v>
      </c>
      <c r="AA10" s="458">
        <f>Y10*Z10</f>
        <v>6399668.7490472337</v>
      </c>
      <c r="AB10" s="129">
        <f>X10</f>
        <v>0.5</v>
      </c>
      <c r="AC10" s="458">
        <f>AA10*AB10</f>
        <v>3199834.3745236169</v>
      </c>
      <c r="AD10" s="129">
        <f>Z10</f>
        <v>1</v>
      </c>
      <c r="AE10" s="458">
        <f>AC10*AD10</f>
        <v>3199834.3745236169</v>
      </c>
      <c r="AF10" s="129">
        <f>AB10</f>
        <v>0.5</v>
      </c>
      <c r="AG10" s="458">
        <f>AE10*AF10</f>
        <v>1599917.1872618084</v>
      </c>
      <c r="AH10" s="129">
        <f>AD10</f>
        <v>1</v>
      </c>
      <c r="AI10" s="458">
        <f>AG10*AH10</f>
        <v>1599917.1872618084</v>
      </c>
      <c r="AJ10" s="129">
        <f>AF10</f>
        <v>0.5</v>
      </c>
      <c r="AK10" s="458">
        <f>AI10*AJ10</f>
        <v>799958.59363090422</v>
      </c>
      <c r="AL10" s="129">
        <f>AH10</f>
        <v>1</v>
      </c>
      <c r="AM10" s="458">
        <f>AK10*AL10</f>
        <v>799958.59363090422</v>
      </c>
      <c r="AN10" s="129">
        <f>AJ10</f>
        <v>0.5</v>
      </c>
      <c r="AO10" s="458">
        <f>AM10*AN10</f>
        <v>399979.29681545211</v>
      </c>
      <c r="AP10" s="129">
        <f>AL10</f>
        <v>1</v>
      </c>
      <c r="AQ10" s="458">
        <f>AO10*AP10</f>
        <v>399979.29681545211</v>
      </c>
      <c r="AR10" s="129">
        <f>AN10</f>
        <v>0.5</v>
      </c>
      <c r="AS10" s="458">
        <f>AQ10*AR10</f>
        <v>199989.64840772605</v>
      </c>
      <c r="AT10" s="129">
        <f>AP10</f>
        <v>1</v>
      </c>
      <c r="AU10" s="458">
        <f>AS10*AT10</f>
        <v>199989.64840772605</v>
      </c>
      <c r="AV10" s="129">
        <f>AB10</f>
        <v>0.5</v>
      </c>
      <c r="AW10" s="458">
        <f>AU10*AV10</f>
        <v>99994.824203863027</v>
      </c>
      <c r="AX10" s="129">
        <f>AD10</f>
        <v>1</v>
      </c>
      <c r="AY10" s="458">
        <f>AW10*AX10</f>
        <v>99994.824203863027</v>
      </c>
      <c r="AZ10" s="129">
        <f>AV10</f>
        <v>0.5</v>
      </c>
      <c r="BA10" s="458">
        <f>AY10*AZ10</f>
        <v>49997.412101931513</v>
      </c>
      <c r="BB10" s="129">
        <f>AX10</f>
        <v>1</v>
      </c>
      <c r="BC10" s="458">
        <f>BA10*BB10</f>
        <v>49997.412101931513</v>
      </c>
      <c r="BD10" s="719">
        <f>G10+I10+M10+Q10+U10+Y10+AC10+AG10+AK10+AO10+AS10+AW10+BA10</f>
        <v>409528802.52692097</v>
      </c>
      <c r="BF10" s="590">
        <f>AZ10</f>
        <v>0.5</v>
      </c>
      <c r="BG10" s="458">
        <f>BC10*BF10</f>
        <v>24998.706050965757</v>
      </c>
      <c r="BH10" s="623"/>
      <c r="BI10" s="624"/>
      <c r="BJ10" s="628"/>
    </row>
    <row r="11" spans="1:91" ht="16.2" thickBot="1" x14ac:dyDescent="0.35">
      <c r="B11" s="585"/>
      <c r="C11" s="1078"/>
      <c r="D11" s="630" t="s">
        <v>1291</v>
      </c>
      <c r="E11" s="631">
        <f>E8/2</f>
        <v>7369613661.264904</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122"/>
      <c r="BA11" s="457" t="s">
        <v>283</v>
      </c>
      <c r="BB11" s="122"/>
      <c r="BC11" s="8"/>
      <c r="BD11" s="126"/>
      <c r="BF11" s="122"/>
      <c r="BG11" s="457" t="s">
        <v>283</v>
      </c>
      <c r="BH11" s="623"/>
      <c r="BI11" s="623"/>
      <c r="BJ11" s="628"/>
    </row>
    <row r="12" spans="1:91" ht="16.2" thickBot="1" x14ac:dyDescent="0.35">
      <c r="B12" s="584"/>
      <c r="E12" s="997">
        <f>E9*E10</f>
        <v>0</v>
      </c>
      <c r="F12" s="1086">
        <v>0.25</v>
      </c>
      <c r="G12" s="135">
        <f>E14*F12</f>
        <v>204789399.96951148</v>
      </c>
      <c r="H12" s="461">
        <v>0.94</v>
      </c>
      <c r="I12" s="135">
        <f>G12*H12</f>
        <v>192502035.97134078</v>
      </c>
      <c r="J12" s="461">
        <v>1</v>
      </c>
      <c r="K12" s="440">
        <f>I12*J12</f>
        <v>192502035.97134078</v>
      </c>
      <c r="L12" s="133">
        <f>H12</f>
        <v>0.94</v>
      </c>
      <c r="M12" s="440">
        <f>K12*L12</f>
        <v>180951913.81306031</v>
      </c>
      <c r="N12" s="133">
        <f>J12</f>
        <v>1</v>
      </c>
      <c r="O12" s="440">
        <f>M12*N12</f>
        <v>180951913.81306031</v>
      </c>
      <c r="P12" s="133">
        <f>L12</f>
        <v>0.94</v>
      </c>
      <c r="Q12" s="440">
        <f>O12*P12</f>
        <v>170094798.98427668</v>
      </c>
      <c r="R12" s="133">
        <f>N12</f>
        <v>1</v>
      </c>
      <c r="S12" s="440">
        <f>Q12*R12</f>
        <v>170094798.98427668</v>
      </c>
      <c r="T12" s="133">
        <f>P12</f>
        <v>0.94</v>
      </c>
      <c r="U12" s="440">
        <f>S12*T12</f>
        <v>159889111.04522008</v>
      </c>
      <c r="V12" s="133">
        <f>R12</f>
        <v>1</v>
      </c>
      <c r="W12" s="440">
        <f>U12*V12</f>
        <v>159889111.04522008</v>
      </c>
      <c r="X12" s="133">
        <f>T12</f>
        <v>0.94</v>
      </c>
      <c r="Y12" s="440">
        <f>W12*X12</f>
        <v>150295764.38250688</v>
      </c>
      <c r="Z12" s="133">
        <f>V12</f>
        <v>1</v>
      </c>
      <c r="AA12" s="440">
        <f>Y12*Z12</f>
        <v>150295764.38250688</v>
      </c>
      <c r="AB12" s="133">
        <f>X12</f>
        <v>0.94</v>
      </c>
      <c r="AC12" s="440">
        <f>AA12*AB12</f>
        <v>141278018.51955646</v>
      </c>
      <c r="AD12" s="133">
        <f>Z12</f>
        <v>1</v>
      </c>
      <c r="AE12" s="440">
        <f>AC12*AD12</f>
        <v>141278018.51955646</v>
      </c>
      <c r="AF12" s="133">
        <f>AB12</f>
        <v>0.94</v>
      </c>
      <c r="AG12" s="440">
        <f>AE12*AF12</f>
        <v>132801337.40838307</v>
      </c>
      <c r="AH12" s="133">
        <f>AD12</f>
        <v>1</v>
      </c>
      <c r="AI12" s="440">
        <f>AG12*AH12</f>
        <v>132801337.40838307</v>
      </c>
      <c r="AJ12" s="133">
        <f>AF12</f>
        <v>0.94</v>
      </c>
      <c r="AK12" s="440">
        <f>AI12*AJ12</f>
        <v>124833257.16388008</v>
      </c>
      <c r="AL12" s="133">
        <f>AH12</f>
        <v>1</v>
      </c>
      <c r="AM12" s="440">
        <f>AK12*AL12</f>
        <v>124833257.16388008</v>
      </c>
      <c r="AN12" s="133">
        <f>AJ12</f>
        <v>0.94</v>
      </c>
      <c r="AO12" s="440">
        <f>AM12*AN12</f>
        <v>117343261.73404726</v>
      </c>
      <c r="AP12" s="133">
        <f>AL12</f>
        <v>1</v>
      </c>
      <c r="AQ12" s="440">
        <f>AO12*AP12</f>
        <v>117343261.73404726</v>
      </c>
      <c r="AR12" s="133">
        <f>AN12</f>
        <v>0.94</v>
      </c>
      <c r="AS12" s="440">
        <f>AQ12*AR12</f>
        <v>110302666.03000443</v>
      </c>
      <c r="AT12" s="133">
        <f>AP12</f>
        <v>1</v>
      </c>
      <c r="AU12" s="440">
        <f>AS12*AT12</f>
        <v>110302666.03000443</v>
      </c>
      <c r="AV12" s="133">
        <f>AB12</f>
        <v>0.94</v>
      </c>
      <c r="AW12" s="440">
        <f>AU12*AV12</f>
        <v>103684506.06820415</v>
      </c>
      <c r="AX12" s="133">
        <f>AD12</f>
        <v>1</v>
      </c>
      <c r="AY12" s="440">
        <f>AW12*AX12</f>
        <v>103684506.06820415</v>
      </c>
      <c r="AZ12" s="133">
        <f>AV12</f>
        <v>0.94</v>
      </c>
      <c r="BA12" s="440">
        <f>AY12*AZ12</f>
        <v>97463435.704111889</v>
      </c>
      <c r="BB12" s="133">
        <f>AX12</f>
        <v>1</v>
      </c>
      <c r="BC12" s="440">
        <f>BA12*BB12</f>
        <v>97463435.704111889</v>
      </c>
      <c r="BD12" s="719">
        <f>G12+I12+M12+Q12+U12+Y12+AC12+AG12+AK12+AO12+AS12+AW12+BA12</f>
        <v>1886229506.7941036</v>
      </c>
      <c r="BF12" s="591">
        <f>AZ12</f>
        <v>0.94</v>
      </c>
      <c r="BG12" s="440">
        <f>BC12*BF12</f>
        <v>91615629.561865166</v>
      </c>
      <c r="BH12" s="623"/>
      <c r="BI12" s="624"/>
      <c r="BJ12" s="628"/>
    </row>
    <row r="13" spans="1:91"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122"/>
      <c r="BA13" s="451" t="s">
        <v>284</v>
      </c>
      <c r="BB13" s="122"/>
      <c r="BC13" s="8"/>
      <c r="BD13" s="126"/>
      <c r="BF13" s="122"/>
      <c r="BG13" s="451" t="s">
        <v>284</v>
      </c>
      <c r="BH13" s="623"/>
      <c r="BI13" s="623"/>
      <c r="BJ13" s="628"/>
    </row>
    <row r="14" spans="1:91" ht="16.2" thickBot="1" x14ac:dyDescent="0.35">
      <c r="A14" s="162"/>
      <c r="B14" s="162"/>
      <c r="C14" s="137" t="s">
        <v>291</v>
      </c>
      <c r="D14" s="1212">
        <v>0.111153397929607</v>
      </c>
      <c r="E14" s="139">
        <f>E11*D14</f>
        <v>819157599.87804592</v>
      </c>
      <c r="F14" s="1088">
        <v>0.5</v>
      </c>
      <c r="G14" s="139">
        <f>E14*F14</f>
        <v>409578799.93902296</v>
      </c>
      <c r="H14" s="463">
        <v>0.94</v>
      </c>
      <c r="I14" s="139">
        <f>G14*H14</f>
        <v>385004071.94268155</v>
      </c>
      <c r="J14" s="463">
        <v>1</v>
      </c>
      <c r="K14" s="441">
        <f>I14*J14</f>
        <v>385004071.94268155</v>
      </c>
      <c r="L14" s="140">
        <f>H14</f>
        <v>0.94</v>
      </c>
      <c r="M14" s="441">
        <f>K14*L14</f>
        <v>361903827.62612063</v>
      </c>
      <c r="N14" s="140">
        <f>J14</f>
        <v>1</v>
      </c>
      <c r="O14" s="441">
        <f>M14*N14</f>
        <v>361903827.62612063</v>
      </c>
      <c r="P14" s="140">
        <f>L14</f>
        <v>0.94</v>
      </c>
      <c r="Q14" s="441">
        <f>O14*P14</f>
        <v>340189597.96855336</v>
      </c>
      <c r="R14" s="140">
        <f>N14</f>
        <v>1</v>
      </c>
      <c r="S14" s="441">
        <f>Q14*R14</f>
        <v>340189597.96855336</v>
      </c>
      <c r="T14" s="140">
        <f>P14</f>
        <v>0.94</v>
      </c>
      <c r="U14" s="441">
        <f>S14*T14</f>
        <v>319778222.09044015</v>
      </c>
      <c r="V14" s="140">
        <f>R14</f>
        <v>1</v>
      </c>
      <c r="W14" s="441">
        <f>U14*V14</f>
        <v>319778222.09044015</v>
      </c>
      <c r="X14" s="140">
        <f>T14</f>
        <v>0.94</v>
      </c>
      <c r="Y14" s="441">
        <f>W14*X14</f>
        <v>300591528.76501375</v>
      </c>
      <c r="Z14" s="140">
        <f>V14</f>
        <v>1</v>
      </c>
      <c r="AA14" s="441">
        <f>Y14*Z14</f>
        <v>300591528.76501375</v>
      </c>
      <c r="AB14" s="140">
        <f>X14</f>
        <v>0.94</v>
      </c>
      <c r="AC14" s="441">
        <f>AA14*AB14</f>
        <v>282556037.03911293</v>
      </c>
      <c r="AD14" s="140">
        <f>Z14</f>
        <v>1</v>
      </c>
      <c r="AE14" s="441">
        <f>AC14*AD14</f>
        <v>282556037.03911293</v>
      </c>
      <c r="AF14" s="140">
        <f>AB14</f>
        <v>0.94</v>
      </c>
      <c r="AG14" s="441">
        <f>AE14*AF14</f>
        <v>265602674.81676614</v>
      </c>
      <c r="AH14" s="140">
        <f>AD14</f>
        <v>1</v>
      </c>
      <c r="AI14" s="441">
        <f>AG14*AH14</f>
        <v>265602674.81676614</v>
      </c>
      <c r="AJ14" s="140">
        <f>AF14</f>
        <v>0.94</v>
      </c>
      <c r="AK14" s="441">
        <f>AI14*AJ14</f>
        <v>249666514.32776016</v>
      </c>
      <c r="AL14" s="140">
        <f>AH14</f>
        <v>1</v>
      </c>
      <c r="AM14" s="441">
        <f>AK14*AL14</f>
        <v>249666514.32776016</v>
      </c>
      <c r="AN14" s="140">
        <f>AJ14</f>
        <v>0.94</v>
      </c>
      <c r="AO14" s="441">
        <f>AM14*AN14</f>
        <v>234686523.46809453</v>
      </c>
      <c r="AP14" s="140">
        <f>AL14</f>
        <v>1</v>
      </c>
      <c r="AQ14" s="441">
        <f>AO14*AP14</f>
        <v>234686523.46809453</v>
      </c>
      <c r="AR14" s="140">
        <f>AN14</f>
        <v>0.94</v>
      </c>
      <c r="AS14" s="441">
        <f>AQ14*AR14</f>
        <v>220605332.06000885</v>
      </c>
      <c r="AT14" s="140">
        <f>AP14</f>
        <v>1</v>
      </c>
      <c r="AU14" s="441">
        <f>AS14*AT14</f>
        <v>220605332.06000885</v>
      </c>
      <c r="AV14" s="140">
        <f>AB14</f>
        <v>0.94</v>
      </c>
      <c r="AW14" s="441">
        <f>AU14*AV14</f>
        <v>207369012.1364083</v>
      </c>
      <c r="AX14" s="140">
        <f>AD14</f>
        <v>1</v>
      </c>
      <c r="AY14" s="441">
        <f>AW14*AX14</f>
        <v>207369012.1364083</v>
      </c>
      <c r="AZ14" s="140">
        <f>AV14</f>
        <v>0.94</v>
      </c>
      <c r="BA14" s="441">
        <f>AY14*AZ14</f>
        <v>194926871.40822378</v>
      </c>
      <c r="BB14" s="140">
        <f>AX14</f>
        <v>1</v>
      </c>
      <c r="BC14" s="441">
        <f>BA14*BB14</f>
        <v>194926871.40822378</v>
      </c>
      <c r="BD14" s="719">
        <f>G14+I14+M14+Q14+U14+Y14+AC14+AG14+AK14+AO14+AS14+AW14+BA14</f>
        <v>3772459013.5882072</v>
      </c>
      <c r="BF14" s="592">
        <f>AZ14</f>
        <v>0.94</v>
      </c>
      <c r="BG14" s="441">
        <f>BC14*BF14</f>
        <v>183231259.12373033</v>
      </c>
      <c r="BH14" s="623"/>
      <c r="BI14" s="624"/>
      <c r="BJ14" s="628"/>
    </row>
    <row r="15" spans="1:91"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122"/>
      <c r="BA15" s="8"/>
      <c r="BB15" s="122"/>
      <c r="BC15" s="8"/>
      <c r="BD15" s="126"/>
      <c r="BF15" s="122"/>
      <c r="BG15" s="8"/>
      <c r="BH15" s="623"/>
      <c r="BI15" s="623"/>
      <c r="BJ15" s="628"/>
    </row>
    <row r="16" spans="1:91"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455"/>
      <c r="BA16" s="454" t="s">
        <v>744</v>
      </c>
      <c r="BB16" s="141"/>
      <c r="BC16" s="164"/>
      <c r="BD16" s="126"/>
      <c r="BF16" s="455"/>
      <c r="BG16" s="454" t="s">
        <v>744</v>
      </c>
      <c r="BH16" s="625"/>
      <c r="BI16" s="625"/>
      <c r="BJ16" s="628"/>
      <c r="BW16" s="233"/>
      <c r="CA16" s="233"/>
      <c r="CL16" s="345"/>
      <c r="CM16" s="233"/>
    </row>
    <row r="17" spans="1:93" ht="16.2" thickBot="1" x14ac:dyDescent="0.35">
      <c r="A17" s="18"/>
      <c r="B17" s="18"/>
      <c r="C17" s="397" t="s">
        <v>276</v>
      </c>
      <c r="D17" s="1213">
        <f>100%-D14-D21</f>
        <v>0.5625</v>
      </c>
      <c r="E17" s="399">
        <f>E11*D17</f>
        <v>4145407684.4615088</v>
      </c>
      <c r="F17" s="1090">
        <v>1</v>
      </c>
      <c r="G17" s="399">
        <f>E17*F17</f>
        <v>4145407684.4615088</v>
      </c>
      <c r="H17" s="464">
        <v>0.94</v>
      </c>
      <c r="I17" s="399">
        <f>G17*H17</f>
        <v>3896683223.3938179</v>
      </c>
      <c r="J17" s="464">
        <v>1</v>
      </c>
      <c r="K17" s="453">
        <f>I17*J17</f>
        <v>3896683223.3938179</v>
      </c>
      <c r="L17" s="400">
        <f>H17</f>
        <v>0.94</v>
      </c>
      <c r="M17" s="453">
        <f>K17*L17</f>
        <v>3662882229.9901886</v>
      </c>
      <c r="N17" s="400">
        <f>J17</f>
        <v>1</v>
      </c>
      <c r="O17" s="453">
        <f>M17*N17</f>
        <v>3662882229.9901886</v>
      </c>
      <c r="P17" s="400">
        <f>L17</f>
        <v>0.94</v>
      </c>
      <c r="Q17" s="453">
        <f>O17*P17</f>
        <v>3443109296.1907773</v>
      </c>
      <c r="R17" s="400">
        <f>N17</f>
        <v>1</v>
      </c>
      <c r="S17" s="453">
        <f>Q17*R17</f>
        <v>3443109296.1907773</v>
      </c>
      <c r="T17" s="400">
        <f>P17</f>
        <v>0.94</v>
      </c>
      <c r="U17" s="453">
        <f>S17*T17</f>
        <v>3236522738.4193306</v>
      </c>
      <c r="V17" s="400">
        <f>R17</f>
        <v>1</v>
      </c>
      <c r="W17" s="453">
        <f>U17*V17</f>
        <v>3236522738.4193306</v>
      </c>
      <c r="X17" s="400">
        <f>T17</f>
        <v>0.94</v>
      </c>
      <c r="Y17" s="453">
        <f>W17*X17</f>
        <v>3042331374.1141706</v>
      </c>
      <c r="Z17" s="400">
        <f>V17</f>
        <v>1</v>
      </c>
      <c r="AA17" s="453">
        <f>Y17*Z17</f>
        <v>3042331374.1141706</v>
      </c>
      <c r="AB17" s="400">
        <f>X17</f>
        <v>0.94</v>
      </c>
      <c r="AC17" s="453">
        <f>AA17*AB17</f>
        <v>2859791491.6673203</v>
      </c>
      <c r="AD17" s="400">
        <f>Z17</f>
        <v>1</v>
      </c>
      <c r="AE17" s="453">
        <f>AC17*AD17</f>
        <v>2859791491.6673203</v>
      </c>
      <c r="AF17" s="400">
        <f>AB17</f>
        <v>0.94</v>
      </c>
      <c r="AG17" s="453">
        <f>AE17*AF17</f>
        <v>2688204002.1672807</v>
      </c>
      <c r="AH17" s="400">
        <f>AD17</f>
        <v>1</v>
      </c>
      <c r="AI17" s="453">
        <f>AG17*AH17</f>
        <v>2688204002.1672807</v>
      </c>
      <c r="AJ17" s="400">
        <f>AF17</f>
        <v>0.94</v>
      </c>
      <c r="AK17" s="453">
        <f>AI17*AJ17</f>
        <v>2526911762.0372438</v>
      </c>
      <c r="AL17" s="400">
        <f>AH17</f>
        <v>1</v>
      </c>
      <c r="AM17" s="453">
        <f>AK17*AL17</f>
        <v>2526911762.0372438</v>
      </c>
      <c r="AN17" s="400">
        <f>AJ17</f>
        <v>0.94</v>
      </c>
      <c r="AO17" s="453">
        <f>AM17*AN17</f>
        <v>2375297056.3150091</v>
      </c>
      <c r="AP17" s="400">
        <f>AL17</f>
        <v>1</v>
      </c>
      <c r="AQ17" s="453">
        <f>AO17*AP17</f>
        <v>2375297056.3150091</v>
      </c>
      <c r="AR17" s="400">
        <f>AN17</f>
        <v>0.94</v>
      </c>
      <c r="AS17" s="453">
        <f>AQ17*AR17</f>
        <v>2232779232.9361086</v>
      </c>
      <c r="AT17" s="400">
        <f>AP17</f>
        <v>1</v>
      </c>
      <c r="AU17" s="453">
        <f>AS17*AT17</f>
        <v>2232779232.9361086</v>
      </c>
      <c r="AV17" s="400">
        <f>AB17</f>
        <v>0.94</v>
      </c>
      <c r="AW17" s="453">
        <f>AU17*AV17</f>
        <v>2098812478.9599419</v>
      </c>
      <c r="AX17" s="400">
        <f>AD17</f>
        <v>1</v>
      </c>
      <c r="AY17" s="453">
        <f>AW17*AX17</f>
        <v>2098812478.9599419</v>
      </c>
      <c r="AZ17" s="400">
        <f>AV17</f>
        <v>0.94</v>
      </c>
      <c r="BA17" s="453">
        <f>AY17*AZ17</f>
        <v>1972883730.2223454</v>
      </c>
      <c r="BB17" s="400">
        <f>AX17</f>
        <v>1</v>
      </c>
      <c r="BC17" s="453">
        <f>BA17*BB17</f>
        <v>1972883730.2223454</v>
      </c>
      <c r="BD17" s="719">
        <f>G17+I17+M17+Q17+U17+Y17+AC17+AG17+AK17+AO17+AS17+AW17+BA17</f>
        <v>38181616300.875038</v>
      </c>
      <c r="BF17" s="593">
        <f>AZ17</f>
        <v>0.94</v>
      </c>
      <c r="BG17" s="453">
        <f>BC17*BF17</f>
        <v>1854510706.4090044</v>
      </c>
      <c r="BH17" s="623"/>
      <c r="BI17" s="624"/>
      <c r="BJ17" s="628"/>
      <c r="BZ17" s="974" t="s">
        <v>872</v>
      </c>
      <c r="CB17" s="974" t="s">
        <v>872</v>
      </c>
      <c r="CE17" s="974" t="s">
        <v>872</v>
      </c>
    </row>
    <row r="18" spans="1:93"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122"/>
      <c r="BA18" s="8"/>
      <c r="BB18" s="122"/>
      <c r="BC18" s="8"/>
      <c r="BD18" s="126"/>
      <c r="BF18" s="122"/>
      <c r="BG18" s="8"/>
      <c r="BH18" s="623"/>
      <c r="BI18" s="623"/>
      <c r="BJ18" s="628"/>
      <c r="BZ18" s="974" t="s">
        <v>5</v>
      </c>
      <c r="CB18" s="974" t="s">
        <v>7</v>
      </c>
      <c r="CE18" s="77" t="s">
        <v>968</v>
      </c>
    </row>
    <row r="19" spans="1:93"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122"/>
      <c r="BA19" s="8"/>
      <c r="BB19" s="122"/>
      <c r="BC19" s="8"/>
      <c r="BD19" s="126"/>
      <c r="BF19" s="122"/>
      <c r="BG19" s="8"/>
      <c r="BH19" s="623"/>
      <c r="BI19" s="623"/>
      <c r="BJ19" s="628"/>
      <c r="BM19" s="473"/>
      <c r="BN19" s="473"/>
      <c r="BO19" s="473"/>
      <c r="BP19" s="473"/>
      <c r="BQ19" s="473"/>
      <c r="BR19" s="473"/>
      <c r="BS19" s="473"/>
      <c r="BT19" s="473"/>
      <c r="BU19" s="473"/>
      <c r="BV19" s="473"/>
      <c r="BW19" s="970"/>
      <c r="BX19" s="485"/>
      <c r="BY19" s="485"/>
      <c r="BZ19" s="485" t="s">
        <v>961</v>
      </c>
      <c r="CA19" s="485" t="s">
        <v>967</v>
      </c>
      <c r="CB19" s="485" t="s">
        <v>59</v>
      </c>
      <c r="CC19" s="485" t="s">
        <v>1343</v>
      </c>
      <c r="CD19" s="485" t="s">
        <v>1344</v>
      </c>
      <c r="CE19" s="485"/>
      <c r="CF19" s="473"/>
      <c r="CG19" s="485" t="s">
        <v>966</v>
      </c>
      <c r="CH19" s="485" t="s">
        <v>974</v>
      </c>
      <c r="CI19" s="485" t="s">
        <v>965</v>
      </c>
      <c r="CJ19" s="485" t="s">
        <v>965</v>
      </c>
      <c r="CK19" s="485" t="s">
        <v>1345</v>
      </c>
      <c r="CL19" s="305" t="s">
        <v>1286</v>
      </c>
      <c r="CM19" s="304"/>
    </row>
    <row r="20" spans="1:93"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122"/>
      <c r="BA20" s="450" t="s">
        <v>285</v>
      </c>
      <c r="BB20" s="122"/>
      <c r="BC20" s="8"/>
      <c r="BD20" s="126"/>
      <c r="BF20" s="122"/>
      <c r="BG20" s="450" t="s">
        <v>285</v>
      </c>
      <c r="BH20" s="623"/>
      <c r="BI20" s="623"/>
      <c r="BJ20" s="628"/>
      <c r="BM20" s="473"/>
      <c r="BN20" s="473"/>
      <c r="BO20" s="473"/>
      <c r="BP20" s="473"/>
      <c r="BQ20" s="473"/>
      <c r="BR20" s="473"/>
      <c r="BS20" s="473"/>
      <c r="BT20" s="473"/>
      <c r="BU20" s="473"/>
      <c r="BV20" s="473"/>
      <c r="BW20" s="970"/>
      <c r="BX20" s="485"/>
      <c r="BY20" s="485"/>
      <c r="BZ20" s="971">
        <f>'POP Dimensions'!C15</f>
        <v>10737418.24</v>
      </c>
      <c r="CA20" s="954">
        <v>64</v>
      </c>
      <c r="CB20" s="972">
        <f>CA20*BZ20</f>
        <v>687194767.36000001</v>
      </c>
      <c r="CC20" s="954">
        <v>16</v>
      </c>
      <c r="CD20" s="954"/>
      <c r="CE20" s="971">
        <f>CB20*CC20</f>
        <v>10995116277.76</v>
      </c>
      <c r="CF20" s="473"/>
      <c r="CG20" s="485" t="s">
        <v>785</v>
      </c>
      <c r="CH20" s="485"/>
      <c r="CI20" s="485" t="s">
        <v>962</v>
      </c>
      <c r="CJ20" s="485" t="s">
        <v>1341</v>
      </c>
      <c r="CK20" s="485" t="s">
        <v>1342</v>
      </c>
      <c r="CL20" s="305"/>
      <c r="CM20" s="304"/>
    </row>
    <row r="21" spans="1:93" ht="16.2" thickBot="1" x14ac:dyDescent="0.35">
      <c r="C21" s="149" t="s">
        <v>737</v>
      </c>
      <c r="D21" s="1214">
        <v>0.32634660207039301</v>
      </c>
      <c r="E21" s="151">
        <f>E11*D21</f>
        <v>2405048376.9253497</v>
      </c>
      <c r="F21" s="1092">
        <v>0.3</v>
      </c>
      <c r="G21" s="151">
        <f>E21*F21</f>
        <v>721514513.07760489</v>
      </c>
      <c r="H21" s="465">
        <v>0.94</v>
      </c>
      <c r="I21" s="151">
        <f>G21*H21</f>
        <v>678223642.2929486</v>
      </c>
      <c r="J21" s="465">
        <v>1</v>
      </c>
      <c r="K21" s="444">
        <f>I21*J21</f>
        <v>678223642.2929486</v>
      </c>
      <c r="L21" s="152">
        <f>H21</f>
        <v>0.94</v>
      </c>
      <c r="M21" s="444">
        <f>K21*L21</f>
        <v>637530223.75537169</v>
      </c>
      <c r="N21" s="152">
        <f>J21</f>
        <v>1</v>
      </c>
      <c r="O21" s="444">
        <f>M21*N21</f>
        <v>637530223.75537169</v>
      </c>
      <c r="P21" s="152">
        <f>L21</f>
        <v>0.94</v>
      </c>
      <c r="Q21" s="444">
        <f>O21*P21</f>
        <v>599278410.3300494</v>
      </c>
      <c r="R21" s="152">
        <f>N21</f>
        <v>1</v>
      </c>
      <c r="S21" s="444">
        <f>Q21*R21</f>
        <v>599278410.3300494</v>
      </c>
      <c r="T21" s="152">
        <f>P21</f>
        <v>0.94</v>
      </c>
      <c r="U21" s="444">
        <f>S21*T21</f>
        <v>563321705.71024644</v>
      </c>
      <c r="V21" s="152">
        <f>R21</f>
        <v>1</v>
      </c>
      <c r="W21" s="444">
        <f>U21*V21</f>
        <v>563321705.71024644</v>
      </c>
      <c r="X21" s="152">
        <f>T21</f>
        <v>0.94</v>
      </c>
      <c r="Y21" s="444">
        <f>W21*X21</f>
        <v>529522403.36763161</v>
      </c>
      <c r="Z21" s="152">
        <f>V21</f>
        <v>1</v>
      </c>
      <c r="AA21" s="444">
        <f>Y21*Z21</f>
        <v>529522403.36763161</v>
      </c>
      <c r="AB21" s="152">
        <f>X21</f>
        <v>0.94</v>
      </c>
      <c r="AC21" s="444">
        <f>AA21*AB21</f>
        <v>497751059.16557372</v>
      </c>
      <c r="AD21" s="152">
        <f>Z21</f>
        <v>1</v>
      </c>
      <c r="AE21" s="444">
        <f>AC21*AD21</f>
        <v>497751059.16557372</v>
      </c>
      <c r="AF21" s="152">
        <f>AB21</f>
        <v>0.94</v>
      </c>
      <c r="AG21" s="444">
        <f>AE21*AF21</f>
        <v>467885995.61563927</v>
      </c>
      <c r="AH21" s="152">
        <f>AD21</f>
        <v>1</v>
      </c>
      <c r="AI21" s="444">
        <f>AG21*AH21</f>
        <v>467885995.61563927</v>
      </c>
      <c r="AJ21" s="152">
        <f>AF21</f>
        <v>0.94</v>
      </c>
      <c r="AK21" s="444">
        <f>AI21*AJ21</f>
        <v>439812835.87870091</v>
      </c>
      <c r="AL21" s="152">
        <f>AH21</f>
        <v>1</v>
      </c>
      <c r="AM21" s="444">
        <f>AK21*AL21</f>
        <v>439812835.87870091</v>
      </c>
      <c r="AN21" s="152">
        <f>AJ21</f>
        <v>0.94</v>
      </c>
      <c r="AO21" s="444">
        <f>AM21*AN21</f>
        <v>413424065.72597885</v>
      </c>
      <c r="AP21" s="152">
        <f>AL21</f>
        <v>1</v>
      </c>
      <c r="AQ21" s="444">
        <f>AO21*AP21</f>
        <v>413424065.72597885</v>
      </c>
      <c r="AR21" s="152">
        <f>AN21</f>
        <v>0.94</v>
      </c>
      <c r="AS21" s="444">
        <f>AQ21*AR21</f>
        <v>388618621.7824201</v>
      </c>
      <c r="AT21" s="152">
        <f>AP21</f>
        <v>1</v>
      </c>
      <c r="AU21" s="444">
        <f>AS21*AT21</f>
        <v>388618621.7824201</v>
      </c>
      <c r="AV21" s="152">
        <f>AB21</f>
        <v>0.94</v>
      </c>
      <c r="AW21" s="444">
        <f>AU21*AV21</f>
        <v>365301504.47547489</v>
      </c>
      <c r="AX21" s="152">
        <f>AD21</f>
        <v>1</v>
      </c>
      <c r="AY21" s="444">
        <f>AW21*AX21</f>
        <v>365301504.47547489</v>
      </c>
      <c r="AZ21" s="152">
        <f>AV21</f>
        <v>0.94</v>
      </c>
      <c r="BA21" s="444">
        <f>AY21*AZ21</f>
        <v>343383414.20694637</v>
      </c>
      <c r="BB21" s="152">
        <f>AX21</f>
        <v>1</v>
      </c>
      <c r="BC21" s="444">
        <f>BA21*BB21</f>
        <v>343383414.20694637</v>
      </c>
      <c r="BD21" s="719">
        <f>G21+I21+M21+Q21+U21+Y21+AC21+AG21+AK21+AO21+AS21+AW21+BA21</f>
        <v>6645568395.3845873</v>
      </c>
      <c r="BF21" s="594">
        <f>AZ21</f>
        <v>0.94</v>
      </c>
      <c r="BG21" s="444">
        <f>BC21*BF21</f>
        <v>322780409.35452956</v>
      </c>
      <c r="BH21" s="623"/>
      <c r="BI21" s="624"/>
      <c r="BJ21" s="628"/>
      <c r="BM21" s="473"/>
      <c r="CC21" s="976"/>
      <c r="CD21" s="976"/>
      <c r="CM21" s="913"/>
    </row>
    <row r="22" spans="1:93"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437"/>
      <c r="BA22" s="449" t="s">
        <v>738</v>
      </c>
      <c r="BB22" s="433"/>
      <c r="BC22" s="434"/>
      <c r="BD22" s="180"/>
      <c r="BF22" s="437"/>
      <c r="BG22" s="449" t="s">
        <v>738</v>
      </c>
      <c r="BH22" s="623"/>
      <c r="BI22" s="623"/>
      <c r="BJ22" s="628"/>
      <c r="BM22" s="473"/>
      <c r="BT22" s="1" t="s">
        <v>955</v>
      </c>
      <c r="BX22" s="581" t="s">
        <v>964</v>
      </c>
      <c r="BY22" s="75"/>
      <c r="BZ22" s="75"/>
      <c r="CA22" s="986"/>
      <c r="CB22" s="896"/>
      <c r="CC22" s="980"/>
      <c r="CD22" s="980"/>
      <c r="CE22" s="75"/>
      <c r="CG22" s="75"/>
      <c r="CH22" s="76"/>
      <c r="CI22" s="75"/>
      <c r="CJ22" s="76">
        <f>CJ31</f>
        <v>1372242051.072</v>
      </c>
      <c r="CK22" s="75"/>
      <c r="CL22" s="910"/>
      <c r="CM22" s="304"/>
    </row>
    <row r="23" spans="1:93" ht="16.2" thickBot="1" x14ac:dyDescent="0.35">
      <c r="C23" s="141"/>
      <c r="D23" s="94">
        <f>SUM(D14:D21)</f>
        <v>1</v>
      </c>
      <c r="E23" s="371"/>
      <c r="F23" s="1093">
        <v>0.25</v>
      </c>
      <c r="G23" s="432">
        <f>E21*F23</f>
        <v>601262094.23133743</v>
      </c>
      <c r="H23" s="466">
        <v>0.94</v>
      </c>
      <c r="I23" s="432">
        <f>G23*H23</f>
        <v>565186368.57745719</v>
      </c>
      <c r="J23" s="466">
        <v>1</v>
      </c>
      <c r="K23" s="449">
        <f>I23*J23</f>
        <v>565186368.57745719</v>
      </c>
      <c r="L23" s="430">
        <f>H23</f>
        <v>0.94</v>
      </c>
      <c r="M23" s="449">
        <f>K23*L23</f>
        <v>531275186.46280974</v>
      </c>
      <c r="N23" s="430">
        <f>J23</f>
        <v>1</v>
      </c>
      <c r="O23" s="449">
        <f>M23*N23</f>
        <v>531275186.46280974</v>
      </c>
      <c r="P23" s="430">
        <f>L23</f>
        <v>0.94</v>
      </c>
      <c r="Q23" s="449">
        <f>O23*P23</f>
        <v>499398675.2750411</v>
      </c>
      <c r="R23" s="430">
        <f>N23</f>
        <v>1</v>
      </c>
      <c r="S23" s="449">
        <f>Q23*R23</f>
        <v>499398675.2750411</v>
      </c>
      <c r="T23" s="430">
        <f>P23</f>
        <v>0.94</v>
      </c>
      <c r="U23" s="449">
        <f>S23*T23</f>
        <v>469434754.7585386</v>
      </c>
      <c r="V23" s="430">
        <f>R23</f>
        <v>1</v>
      </c>
      <c r="W23" s="449">
        <f>U23*V23</f>
        <v>469434754.7585386</v>
      </c>
      <c r="X23" s="430">
        <f>T23</f>
        <v>0.94</v>
      </c>
      <c r="Y23" s="449">
        <f>W23*X23</f>
        <v>441268669.47302628</v>
      </c>
      <c r="Z23" s="430">
        <f>V23</f>
        <v>1</v>
      </c>
      <c r="AA23" s="449">
        <f>Y23*Z23</f>
        <v>441268669.47302628</v>
      </c>
      <c r="AB23" s="430">
        <f>X23</f>
        <v>0.94</v>
      </c>
      <c r="AC23" s="449">
        <f>AA23*AB23</f>
        <v>414792549.3046447</v>
      </c>
      <c r="AD23" s="430">
        <f>Z23</f>
        <v>1</v>
      </c>
      <c r="AE23" s="449">
        <f>AC23*AD23</f>
        <v>414792549.3046447</v>
      </c>
      <c r="AF23" s="430">
        <f>AB23</f>
        <v>0.94</v>
      </c>
      <c r="AG23" s="449">
        <f>AE23*AF23</f>
        <v>389904996.34636599</v>
      </c>
      <c r="AH23" s="430">
        <f>AD23</f>
        <v>1</v>
      </c>
      <c r="AI23" s="449">
        <f>AG23*AH23</f>
        <v>389904996.34636599</v>
      </c>
      <c r="AJ23" s="430">
        <f>AF23</f>
        <v>0.94</v>
      </c>
      <c r="AK23" s="449">
        <f>AI23*AJ23</f>
        <v>366510696.565584</v>
      </c>
      <c r="AL23" s="430">
        <f>AH23</f>
        <v>1</v>
      </c>
      <c r="AM23" s="449">
        <f>AK23*AL23</f>
        <v>366510696.565584</v>
      </c>
      <c r="AN23" s="430">
        <f>AJ23</f>
        <v>0.94</v>
      </c>
      <c r="AO23" s="449">
        <f>AM23*AN23</f>
        <v>344520054.77164894</v>
      </c>
      <c r="AP23" s="430">
        <f>AL23</f>
        <v>1</v>
      </c>
      <c r="AQ23" s="449">
        <f>AO23*AP23</f>
        <v>344520054.77164894</v>
      </c>
      <c r="AR23" s="430">
        <f>AN23</f>
        <v>0.94</v>
      </c>
      <c r="AS23" s="449">
        <f>AQ23*AR23</f>
        <v>323848851.48535001</v>
      </c>
      <c r="AT23" s="430">
        <f>AP23</f>
        <v>1</v>
      </c>
      <c r="AU23" s="449">
        <f>AS23*AT23</f>
        <v>323848851.48535001</v>
      </c>
      <c r="AV23" s="430">
        <f>AB23</f>
        <v>0.94</v>
      </c>
      <c r="AW23" s="449">
        <f>AU23*AV23</f>
        <v>304417920.39622897</v>
      </c>
      <c r="AX23" s="430">
        <f>AD23</f>
        <v>1</v>
      </c>
      <c r="AY23" s="449">
        <f>AW23*AX23</f>
        <v>304417920.39622897</v>
      </c>
      <c r="AZ23" s="430">
        <f>AV23</f>
        <v>0.94</v>
      </c>
      <c r="BA23" s="449">
        <f>AY23*AZ23</f>
        <v>286152845.17245519</v>
      </c>
      <c r="BB23" s="430">
        <f>AX23</f>
        <v>1</v>
      </c>
      <c r="BC23" s="449">
        <f>BA23*BB23</f>
        <v>286152845.17245519</v>
      </c>
      <c r="BD23" s="719">
        <f>G23+I23+M23+Q23+U23+Y23+AC23+AG23+AK23+AO23+AS23+AW23+BA23</f>
        <v>5537973662.820487</v>
      </c>
      <c r="BF23" s="595">
        <f>AZ23</f>
        <v>0.94</v>
      </c>
      <c r="BG23" s="449">
        <f>BC23*BF23</f>
        <v>268983674.46210784</v>
      </c>
      <c r="BH23" s="623"/>
      <c r="BI23" s="624"/>
      <c r="BJ23" s="628"/>
      <c r="BM23" s="473"/>
      <c r="BR23" s="982" t="s">
        <v>989</v>
      </c>
      <c r="BS23" s="983">
        <v>2016</v>
      </c>
      <c r="BT23" s="910">
        <v>75543543000000</v>
      </c>
      <c r="BU23" s="984">
        <v>2.5000000000000001E-2</v>
      </c>
      <c r="BV23" s="910">
        <f>BT23*BU23</f>
        <v>1888588575000</v>
      </c>
      <c r="BX23" s="75"/>
      <c r="BY23" s="968">
        <v>2016</v>
      </c>
      <c r="BZ23" s="305">
        <f>BZ20</f>
        <v>10737418.24</v>
      </c>
      <c r="CA23" s="986">
        <v>64</v>
      </c>
      <c r="CB23" s="411">
        <f t="shared" ref="CB23:CB35" si="0">CA23*BZ23</f>
        <v>687194767.36000001</v>
      </c>
      <c r="CC23" s="980"/>
      <c r="CD23" s="980"/>
      <c r="CE23" s="305">
        <f t="shared" ref="CE23:CE35" si="1">CB23*CC23</f>
        <v>0</v>
      </c>
      <c r="CG23" s="75"/>
      <c r="CH23" s="76"/>
      <c r="CI23" s="75"/>
      <c r="CJ23" s="953">
        <v>25000</v>
      </c>
      <c r="CK23" s="968" t="s">
        <v>1349</v>
      </c>
      <c r="CL23" s="910"/>
      <c r="CM23" s="981">
        <v>2016</v>
      </c>
    </row>
    <row r="24" spans="1:93"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122"/>
      <c r="BA24" s="448" t="s">
        <v>294</v>
      </c>
      <c r="BB24" s="122"/>
      <c r="BC24" s="8"/>
      <c r="BD24" s="126"/>
      <c r="BF24" s="122"/>
      <c r="BG24" s="448" t="s">
        <v>294</v>
      </c>
      <c r="BH24" s="623"/>
      <c r="BI24" s="623"/>
      <c r="BJ24" s="628"/>
      <c r="BM24" s="473"/>
      <c r="BR24" s="982" t="s">
        <v>989</v>
      </c>
      <c r="BS24" s="983">
        <f>BS23+1</f>
        <v>2017</v>
      </c>
      <c r="BT24" s="910">
        <f>BT23+BV23</f>
        <v>77432131575000</v>
      </c>
      <c r="BU24" s="985">
        <f>BU23</f>
        <v>2.5000000000000001E-2</v>
      </c>
      <c r="BV24" s="910">
        <f>BT24*BU24</f>
        <v>1935803289375</v>
      </c>
      <c r="BX24" s="75"/>
      <c r="BY24" s="968">
        <f>BY23+1</f>
        <v>2017</v>
      </c>
      <c r="BZ24" s="305">
        <f>BZ20</f>
        <v>10737418.24</v>
      </c>
      <c r="CA24" s="986">
        <v>64</v>
      </c>
      <c r="CB24" s="411">
        <f t="shared" si="0"/>
        <v>687194767.36000001</v>
      </c>
      <c r="CC24" s="980"/>
      <c r="CD24" s="980"/>
      <c r="CE24" s="305">
        <f t="shared" si="1"/>
        <v>0</v>
      </c>
      <c r="CG24" s="75"/>
      <c r="CH24" s="76"/>
      <c r="CI24" s="75"/>
      <c r="CJ24" s="76">
        <f>CJ22/CJ23</f>
        <v>54889.682042879998</v>
      </c>
      <c r="CK24" s="75"/>
      <c r="CL24" s="910"/>
      <c r="CM24" s="981">
        <f>CM23+1</f>
        <v>2017</v>
      </c>
    </row>
    <row r="25" spans="1:93" ht="16.2" thickBot="1" x14ac:dyDescent="0.35">
      <c r="C25" s="122"/>
      <c r="D25" s="573" t="s">
        <v>1367</v>
      </c>
      <c r="E25" s="7"/>
      <c r="F25" s="1094">
        <v>0.2</v>
      </c>
      <c r="G25" s="99">
        <f>E21*F25</f>
        <v>481009675.38506997</v>
      </c>
      <c r="H25" s="467">
        <v>0.94</v>
      </c>
      <c r="I25" s="99">
        <f>G25*H25</f>
        <v>452149094.86196572</v>
      </c>
      <c r="J25" s="467">
        <v>1</v>
      </c>
      <c r="K25" s="443">
        <f>I25*J25</f>
        <v>452149094.86196572</v>
      </c>
      <c r="L25" s="153">
        <f>H25</f>
        <v>0.94</v>
      </c>
      <c r="M25" s="443">
        <f>K25*L25</f>
        <v>425020149.17024773</v>
      </c>
      <c r="N25" s="153">
        <f>J25</f>
        <v>1</v>
      </c>
      <c r="O25" s="443">
        <f>M25*N25</f>
        <v>425020149.17024773</v>
      </c>
      <c r="P25" s="153">
        <f>L25</f>
        <v>0.94</v>
      </c>
      <c r="Q25" s="443">
        <f>O25*P25</f>
        <v>399518940.22003287</v>
      </c>
      <c r="R25" s="153">
        <f>N25</f>
        <v>1</v>
      </c>
      <c r="S25" s="443">
        <f>Q25*R25</f>
        <v>399518940.22003287</v>
      </c>
      <c r="T25" s="153">
        <f>P25</f>
        <v>0.94</v>
      </c>
      <c r="U25" s="443">
        <f>S25*T25</f>
        <v>375547803.80683088</v>
      </c>
      <c r="V25" s="153">
        <f>R25</f>
        <v>1</v>
      </c>
      <c r="W25" s="443">
        <f>U25*V25</f>
        <v>375547803.80683088</v>
      </c>
      <c r="X25" s="153">
        <f>T25</f>
        <v>0.94</v>
      </c>
      <c r="Y25" s="443">
        <f>W25*X25</f>
        <v>353014935.578421</v>
      </c>
      <c r="Z25" s="153">
        <f>V25</f>
        <v>1</v>
      </c>
      <c r="AA25" s="443">
        <f>Y25*Z25</f>
        <v>353014935.578421</v>
      </c>
      <c r="AB25" s="153">
        <f>X25</f>
        <v>0.94</v>
      </c>
      <c r="AC25" s="443">
        <f>AA25*AB25</f>
        <v>331834039.44371569</v>
      </c>
      <c r="AD25" s="153">
        <f>Z25</f>
        <v>1</v>
      </c>
      <c r="AE25" s="443">
        <f>AC25*AD25</f>
        <v>331834039.44371569</v>
      </c>
      <c r="AF25" s="153">
        <f>AB25</f>
        <v>0.94</v>
      </c>
      <c r="AG25" s="443">
        <f>AE25*AF25</f>
        <v>311923997.07709271</v>
      </c>
      <c r="AH25" s="153">
        <f>AD25</f>
        <v>1</v>
      </c>
      <c r="AI25" s="443">
        <f>AG25*AH25</f>
        <v>311923997.07709271</v>
      </c>
      <c r="AJ25" s="153">
        <f>AF25</f>
        <v>0.94</v>
      </c>
      <c r="AK25" s="443">
        <f>AI25*AJ25</f>
        <v>293208557.25246716</v>
      </c>
      <c r="AL25" s="153">
        <f>AH25</f>
        <v>1</v>
      </c>
      <c r="AM25" s="443">
        <f>AK25*AL25</f>
        <v>293208557.25246716</v>
      </c>
      <c r="AN25" s="153">
        <f>AJ25</f>
        <v>0.94</v>
      </c>
      <c r="AO25" s="443">
        <f>AM25*AN25</f>
        <v>275616043.8173191</v>
      </c>
      <c r="AP25" s="153">
        <f>AL25</f>
        <v>1</v>
      </c>
      <c r="AQ25" s="443">
        <f>AO25*AP25</f>
        <v>275616043.8173191</v>
      </c>
      <c r="AR25" s="153">
        <f>AN25</f>
        <v>0.94</v>
      </c>
      <c r="AS25" s="443">
        <f>AQ25*AR25</f>
        <v>259079081.18827993</v>
      </c>
      <c r="AT25" s="153">
        <f>AP25</f>
        <v>1</v>
      </c>
      <c r="AU25" s="443">
        <f>AS25*AT25</f>
        <v>259079081.18827993</v>
      </c>
      <c r="AV25" s="153">
        <f>AB25</f>
        <v>0.94</v>
      </c>
      <c r="AW25" s="443">
        <f>AU25*AV25</f>
        <v>243534336.3169831</v>
      </c>
      <c r="AX25" s="153">
        <f>AD25</f>
        <v>1</v>
      </c>
      <c r="AY25" s="443">
        <f>AW25*AX25</f>
        <v>243534336.3169831</v>
      </c>
      <c r="AZ25" s="153">
        <f>AV25</f>
        <v>0.94</v>
      </c>
      <c r="BA25" s="443">
        <f>AY25*AZ25</f>
        <v>228922276.1379641</v>
      </c>
      <c r="BB25" s="153">
        <f>AX25</f>
        <v>1</v>
      </c>
      <c r="BC25" s="443">
        <f>BA25*BB25</f>
        <v>228922276.1379641</v>
      </c>
      <c r="BD25" s="719">
        <f>G25+I25+M25+Q25+U25+Y25+AC25+AG25+AK25+AO25+AS25+AW25+BA25</f>
        <v>4430378930.2563896</v>
      </c>
      <c r="BF25" s="596">
        <f>AZ25</f>
        <v>0.94</v>
      </c>
      <c r="BG25" s="443">
        <f>BC25*BF25</f>
        <v>215186939.56968623</v>
      </c>
      <c r="BH25" s="623"/>
      <c r="BI25" s="624"/>
      <c r="BJ25" s="628"/>
      <c r="BM25" s="473"/>
      <c r="BR25" s="982" t="s">
        <v>989</v>
      </c>
      <c r="BS25" s="983">
        <f t="shared" ref="BS25:BS35" si="2">BS24+1</f>
        <v>2018</v>
      </c>
      <c r="BT25" s="910">
        <f t="shared" ref="BT25:BT35" si="3">BT24+BV24</f>
        <v>79367934864375</v>
      </c>
      <c r="BU25" s="985">
        <f t="shared" ref="BU25:BU35" si="4">BU24</f>
        <v>2.5000000000000001E-2</v>
      </c>
      <c r="BV25" s="910">
        <f t="shared" ref="BV25:BV35" si="5">BT25*BU25</f>
        <v>1984198371609.375</v>
      </c>
      <c r="BX25" s="75"/>
      <c r="BY25" s="968">
        <f t="shared" ref="BY25:BY35" si="6">BY24+1</f>
        <v>2018</v>
      </c>
      <c r="BZ25" s="305">
        <f>BZ20</f>
        <v>10737418.24</v>
      </c>
      <c r="CA25" s="986">
        <v>64</v>
      </c>
      <c r="CB25" s="411">
        <f t="shared" si="0"/>
        <v>687194767.36000001</v>
      </c>
      <c r="CC25" s="980">
        <v>2.5000000000000001E-2</v>
      </c>
      <c r="CD25" s="980"/>
      <c r="CE25" s="305">
        <f t="shared" si="1"/>
        <v>17179869.184</v>
      </c>
      <c r="CF25" s="978" t="s">
        <v>1144</v>
      </c>
      <c r="CG25" s="305">
        <f t="shared" ref="CG25:CG55" si="7">CE25</f>
        <v>17179869.184</v>
      </c>
      <c r="CH25" s="691">
        <f t="shared" ref="CH25:CH35" si="8">CG25+CH24-CL25</f>
        <v>17179869.184</v>
      </c>
      <c r="CI25" s="893">
        <v>0.125</v>
      </c>
      <c r="CJ25" s="973">
        <f>CH25*CI25</f>
        <v>2147483.648</v>
      </c>
      <c r="CK25" s="305">
        <f>BD58</f>
        <v>1075536338.1642158</v>
      </c>
      <c r="CL25" s="910">
        <f t="shared" ref="CL25:CL35" si="9">CB25*CD25</f>
        <v>0</v>
      </c>
      <c r="CM25" s="981">
        <f t="shared" ref="CM25:CM55" si="10">CM24+1</f>
        <v>2018</v>
      </c>
    </row>
    <row r="26" spans="1:93"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126"/>
      <c r="BF26" s="122"/>
      <c r="BG26" s="452" t="s">
        <v>733</v>
      </c>
      <c r="BH26" s="623"/>
      <c r="BI26" s="623"/>
      <c r="BJ26" s="628"/>
      <c r="BM26" s="473"/>
      <c r="BR26" s="982" t="s">
        <v>989</v>
      </c>
      <c r="BS26" s="983">
        <f t="shared" si="2"/>
        <v>2019</v>
      </c>
      <c r="BT26" s="910">
        <f t="shared" si="3"/>
        <v>81352133235984.375</v>
      </c>
      <c r="BU26" s="985">
        <f t="shared" si="4"/>
        <v>2.5000000000000001E-2</v>
      </c>
      <c r="BV26" s="910">
        <f t="shared" si="5"/>
        <v>2033803330899.6094</v>
      </c>
      <c r="BX26" s="75"/>
      <c r="BY26" s="968">
        <f t="shared" si="6"/>
        <v>2019</v>
      </c>
      <c r="BZ26" s="305">
        <f>BZ20</f>
        <v>10737418.24</v>
      </c>
      <c r="CA26" s="986">
        <v>64</v>
      </c>
      <c r="CB26" s="411">
        <f t="shared" si="0"/>
        <v>687194767.36000001</v>
      </c>
      <c r="CC26" s="980">
        <v>0.2</v>
      </c>
      <c r="CD26" s="980"/>
      <c r="CE26" s="305">
        <f t="shared" si="1"/>
        <v>137438953.472</v>
      </c>
      <c r="CF26" s="978" t="s">
        <v>1144</v>
      </c>
      <c r="CG26" s="305">
        <f t="shared" si="7"/>
        <v>137438953.472</v>
      </c>
      <c r="CH26" s="691">
        <f t="shared" si="8"/>
        <v>154618822.65600002</v>
      </c>
      <c r="CI26" s="893">
        <f>CI25</f>
        <v>0.125</v>
      </c>
      <c r="CJ26" s="973">
        <f t="shared" ref="CJ26:CJ55" si="11">CH26*CI26</f>
        <v>19327352.832000002</v>
      </c>
      <c r="CK26" s="305">
        <f>CK25</f>
        <v>1075536338.1642158</v>
      </c>
      <c r="CL26" s="910">
        <f t="shared" si="9"/>
        <v>0</v>
      </c>
      <c r="CM26" s="981">
        <f t="shared" si="10"/>
        <v>2019</v>
      </c>
    </row>
    <row r="27" spans="1:93" ht="19.2" thickBot="1" x14ac:dyDescent="0.5">
      <c r="C27" s="122"/>
      <c r="D27" s="574" t="s">
        <v>1369</v>
      </c>
      <c r="E27" s="7"/>
      <c r="F27" s="1096">
        <v>0.25</v>
      </c>
      <c r="G27" s="446">
        <f>E21*F27</f>
        <v>601262094.23133743</v>
      </c>
      <c r="H27" s="447">
        <v>0.25</v>
      </c>
      <c r="I27" s="446">
        <f>G27*H27</f>
        <v>150315523.55783436</v>
      </c>
      <c r="J27" s="447">
        <v>1</v>
      </c>
      <c r="K27" s="439">
        <f>I27*J27</f>
        <v>150315523.55783436</v>
      </c>
      <c r="L27" s="438">
        <f>H27</f>
        <v>0.25</v>
      </c>
      <c r="M27" s="439">
        <f>K27*L27</f>
        <v>37578880.889458589</v>
      </c>
      <c r="N27" s="438">
        <f>J27</f>
        <v>1</v>
      </c>
      <c r="O27" s="439">
        <f>M27*N27</f>
        <v>37578880.889458589</v>
      </c>
      <c r="P27" s="438">
        <f>L27</f>
        <v>0.25</v>
      </c>
      <c r="Q27" s="439">
        <f>O27*P27</f>
        <v>9394720.2223646473</v>
      </c>
      <c r="R27" s="438">
        <f>N27</f>
        <v>1</v>
      </c>
      <c r="S27" s="439">
        <f>Q27*R27</f>
        <v>9394720.2223646473</v>
      </c>
      <c r="T27" s="438">
        <f>P27</f>
        <v>0.25</v>
      </c>
      <c r="U27" s="439">
        <f>S27*T27</f>
        <v>2348680.0555911618</v>
      </c>
      <c r="V27" s="438">
        <f>R27</f>
        <v>1</v>
      </c>
      <c r="W27" s="439">
        <f>U27*V27</f>
        <v>2348680.0555911618</v>
      </c>
      <c r="X27" s="438">
        <f>T27</f>
        <v>0.25</v>
      </c>
      <c r="Y27" s="439">
        <f>W27*X27</f>
        <v>587170.01389779046</v>
      </c>
      <c r="Z27" s="438">
        <f>V27</f>
        <v>1</v>
      </c>
      <c r="AA27" s="439">
        <f>Y27*Z27</f>
        <v>587170.01389779046</v>
      </c>
      <c r="AB27" s="438">
        <f>X27</f>
        <v>0.25</v>
      </c>
      <c r="AC27" s="439">
        <f>AA27*AB27</f>
        <v>146792.50347444761</v>
      </c>
      <c r="AD27" s="438">
        <f>Z27</f>
        <v>1</v>
      </c>
      <c r="AE27" s="439">
        <f>AC27*AD27</f>
        <v>146792.50347444761</v>
      </c>
      <c r="AF27" s="438">
        <f>AB27</f>
        <v>0.25</v>
      </c>
      <c r="AG27" s="439">
        <f>AE27*AF27</f>
        <v>36698.125868611904</v>
      </c>
      <c r="AH27" s="438">
        <f>AD27</f>
        <v>1</v>
      </c>
      <c r="AI27" s="439">
        <f>AG27*AH27</f>
        <v>36698.125868611904</v>
      </c>
      <c r="AJ27" s="438">
        <f>AF27</f>
        <v>0.25</v>
      </c>
      <c r="AK27" s="439">
        <f>AI27*AJ27</f>
        <v>9174.5314671529759</v>
      </c>
      <c r="AL27" s="438">
        <f>AH27</f>
        <v>1</v>
      </c>
      <c r="AM27" s="439">
        <f>AK27*AL27</f>
        <v>9174.5314671529759</v>
      </c>
      <c r="AN27" s="438">
        <f>AJ27</f>
        <v>0.25</v>
      </c>
      <c r="AO27" s="439">
        <f>AM27*AN27</f>
        <v>2293.632866788244</v>
      </c>
      <c r="AP27" s="438">
        <f>AL27</f>
        <v>1</v>
      </c>
      <c r="AQ27" s="439">
        <f>AO27*AP27</f>
        <v>2293.632866788244</v>
      </c>
      <c r="AR27" s="438">
        <f>AN27</f>
        <v>0.25</v>
      </c>
      <c r="AS27" s="439">
        <f>AQ27*AR27</f>
        <v>573.40821669706099</v>
      </c>
      <c r="AT27" s="438">
        <f>AP27</f>
        <v>1</v>
      </c>
      <c r="AU27" s="439">
        <f>AS27*AT27</f>
        <v>573.40821669706099</v>
      </c>
      <c r="AV27" s="438">
        <f>AB27</f>
        <v>0.25</v>
      </c>
      <c r="AW27" s="439">
        <f>AU27*AV27</f>
        <v>143.35205417426525</v>
      </c>
      <c r="AX27" s="438">
        <f>AD27</f>
        <v>1</v>
      </c>
      <c r="AY27" s="439">
        <f>AW27*AX27</f>
        <v>143.35205417426525</v>
      </c>
      <c r="AZ27" s="438">
        <f>AV27</f>
        <v>0.25</v>
      </c>
      <c r="BA27" s="439">
        <f>AY27*AZ27</f>
        <v>35.838013543566312</v>
      </c>
      <c r="BB27" s="438">
        <f>AX27</f>
        <v>1</v>
      </c>
      <c r="BC27" s="439">
        <f>BA27*BB27</f>
        <v>35.838013543566312</v>
      </c>
      <c r="BD27" s="719">
        <f>G27+I27+M27+Q27+U27+Y27+AC27+AG27+AK27+AO27+AS27+AW27+BA27</f>
        <v>801682780.36244524</v>
      </c>
      <c r="BF27" s="597">
        <f>AZ27</f>
        <v>0.25</v>
      </c>
      <c r="BG27" s="439">
        <f>BC27*BF27</f>
        <v>8.959503385891578</v>
      </c>
      <c r="BH27" s="623"/>
      <c r="BI27" s="624"/>
      <c r="BJ27" s="628"/>
      <c r="BM27" s="473"/>
      <c r="BR27" s="982" t="s">
        <v>989</v>
      </c>
      <c r="BS27" s="983">
        <f t="shared" si="2"/>
        <v>2020</v>
      </c>
      <c r="BT27" s="910">
        <f t="shared" si="3"/>
        <v>83385936566883.984</v>
      </c>
      <c r="BU27" s="985">
        <f t="shared" si="4"/>
        <v>2.5000000000000001E-2</v>
      </c>
      <c r="BV27" s="910">
        <f t="shared" si="5"/>
        <v>2084648414172.0996</v>
      </c>
      <c r="BW27" s="895" t="s">
        <v>1283</v>
      </c>
      <c r="BX27" s="75"/>
      <c r="BY27" s="968">
        <f t="shared" si="6"/>
        <v>2020</v>
      </c>
      <c r="BZ27" s="305">
        <f>BZ20</f>
        <v>10737418.24</v>
      </c>
      <c r="CA27" s="986">
        <v>64</v>
      </c>
      <c r="CB27" s="411">
        <f t="shared" si="0"/>
        <v>687194767.36000001</v>
      </c>
      <c r="CC27" s="980">
        <v>1.5</v>
      </c>
      <c r="CD27" s="980"/>
      <c r="CE27" s="305">
        <f t="shared" si="1"/>
        <v>1030792151.04</v>
      </c>
      <c r="CF27" s="978" t="s">
        <v>1144</v>
      </c>
      <c r="CG27" s="305">
        <f t="shared" si="7"/>
        <v>1030792151.04</v>
      </c>
      <c r="CH27" s="691">
        <f t="shared" si="8"/>
        <v>1185410973.6960001</v>
      </c>
      <c r="CI27" s="893">
        <f t="shared" ref="CI27:CI31" si="12">CI26</f>
        <v>0.125</v>
      </c>
      <c r="CJ27" s="973">
        <f t="shared" si="11"/>
        <v>148176371.71200001</v>
      </c>
      <c r="CK27" s="305">
        <f t="shared" ref="CK27:CK55" si="13">CK26</f>
        <v>1075536338.1642158</v>
      </c>
      <c r="CL27" s="910">
        <f t="shared" si="9"/>
        <v>0</v>
      </c>
      <c r="CM27" s="981">
        <f t="shared" si="10"/>
        <v>2020</v>
      </c>
    </row>
    <row r="28" spans="1:93"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437"/>
      <c r="BA28" s="434"/>
      <c r="BB28" s="142"/>
      <c r="BC28" s="434"/>
      <c r="BD28" s="180"/>
      <c r="BF28" s="122"/>
      <c r="BG28" s="8"/>
      <c r="BH28" s="623"/>
      <c r="BI28" s="624"/>
      <c r="BJ28" s="629">
        <f>BG5</f>
        <v>3296907922.5048962</v>
      </c>
      <c r="BM28" s="473"/>
      <c r="BR28" s="982" t="s">
        <v>989</v>
      </c>
      <c r="BS28" s="983">
        <f t="shared" si="2"/>
        <v>2021</v>
      </c>
      <c r="BT28" s="910">
        <f t="shared" si="3"/>
        <v>85470584981056.078</v>
      </c>
      <c r="BU28" s="985">
        <f t="shared" si="4"/>
        <v>2.5000000000000001E-2</v>
      </c>
      <c r="BV28" s="910">
        <f t="shared" si="5"/>
        <v>2136764624526.4021</v>
      </c>
      <c r="BX28" s="75"/>
      <c r="BY28" s="968">
        <f t="shared" si="6"/>
        <v>2021</v>
      </c>
      <c r="BZ28" s="305">
        <f>BZ20</f>
        <v>10737418.24</v>
      </c>
      <c r="CA28" s="986">
        <v>64</v>
      </c>
      <c r="CB28" s="411">
        <f t="shared" si="0"/>
        <v>687194767.36000001</v>
      </c>
      <c r="CC28" s="980">
        <v>1.25</v>
      </c>
      <c r="CD28" s="980"/>
      <c r="CE28" s="305">
        <f t="shared" si="1"/>
        <v>858993459.20000005</v>
      </c>
      <c r="CF28" s="978" t="s">
        <v>1144</v>
      </c>
      <c r="CG28" s="305">
        <f t="shared" si="7"/>
        <v>858993459.20000005</v>
      </c>
      <c r="CH28" s="691">
        <f t="shared" si="8"/>
        <v>2044404432.8960001</v>
      </c>
      <c r="CI28" s="893">
        <f t="shared" si="12"/>
        <v>0.125</v>
      </c>
      <c r="CJ28" s="973">
        <f t="shared" si="11"/>
        <v>255550554.11200002</v>
      </c>
      <c r="CK28" s="305">
        <f t="shared" si="13"/>
        <v>1075536338.1642158</v>
      </c>
      <c r="CL28" s="910">
        <f t="shared" si="9"/>
        <v>0</v>
      </c>
      <c r="CM28" s="981">
        <f t="shared" si="10"/>
        <v>2021</v>
      </c>
    </row>
    <row r="29" spans="1:93"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122"/>
      <c r="BA29" s="8"/>
      <c r="BB29" s="122"/>
      <c r="BC29" s="8"/>
      <c r="BD29" s="180">
        <f>SUM(BD10:BD27)</f>
        <v>61665437392.608185</v>
      </c>
      <c r="BF29" s="179"/>
      <c r="BG29" s="161">
        <f>SUM(BG10:BG28)</f>
        <v>2936333626.1464777</v>
      </c>
      <c r="BH29" s="691">
        <v>1</v>
      </c>
      <c r="BI29" s="183">
        <f>BG29*BH29</f>
        <v>2936333626.1464777</v>
      </c>
      <c r="BJ29" s="645">
        <f>BI29+BJ28</f>
        <v>6233241548.6513739</v>
      </c>
      <c r="BK29" s="253" t="s">
        <v>1383</v>
      </c>
      <c r="BM29" s="473"/>
      <c r="BR29" s="982" t="s">
        <v>989</v>
      </c>
      <c r="BS29" s="983">
        <f>BS28+1</f>
        <v>2022</v>
      </c>
      <c r="BT29" s="910">
        <f>BT28+BV28</f>
        <v>87607349605582.484</v>
      </c>
      <c r="BU29" s="985">
        <f>BU28</f>
        <v>2.5000000000000001E-2</v>
      </c>
      <c r="BV29" s="910">
        <f t="shared" si="5"/>
        <v>2190183740139.5623</v>
      </c>
      <c r="BX29" s="75"/>
      <c r="BY29" s="968">
        <f>BY28+1</f>
        <v>2022</v>
      </c>
      <c r="BZ29" s="305">
        <f>BZ20</f>
        <v>10737418.24</v>
      </c>
      <c r="CA29" s="986">
        <v>64</v>
      </c>
      <c r="CB29" s="411">
        <f t="shared" si="0"/>
        <v>687194767.36000001</v>
      </c>
      <c r="CC29" s="980">
        <v>2</v>
      </c>
      <c r="CD29" s="980"/>
      <c r="CE29" s="305">
        <f t="shared" si="1"/>
        <v>1374389534.72</v>
      </c>
      <c r="CF29" s="978" t="s">
        <v>1144</v>
      </c>
      <c r="CG29" s="305">
        <f t="shared" si="7"/>
        <v>1374389534.72</v>
      </c>
      <c r="CH29" s="691">
        <f t="shared" si="8"/>
        <v>3418793967.6160002</v>
      </c>
      <c r="CI29" s="893">
        <f t="shared" si="12"/>
        <v>0.125</v>
      </c>
      <c r="CJ29" s="973">
        <f t="shared" si="11"/>
        <v>427349245.95200002</v>
      </c>
      <c r="CK29" s="305">
        <f t="shared" si="13"/>
        <v>1075536338.1642158</v>
      </c>
      <c r="CL29" s="910">
        <f t="shared" si="9"/>
        <v>0</v>
      </c>
      <c r="CM29" s="981">
        <f>CM28+1</f>
        <v>2022</v>
      </c>
    </row>
    <row r="30" spans="1:93" x14ac:dyDescent="0.3">
      <c r="C30" s="158"/>
      <c r="D30" s="10"/>
      <c r="E30" s="10"/>
      <c r="F30" s="10"/>
      <c r="G30" s="159">
        <f>SUM(G10:G29)</f>
        <v>7369613661.264905</v>
      </c>
      <c r="H30" s="599"/>
      <c r="I30" s="172">
        <f>SUM(I10:I29)</f>
        <v>6422458660.5828028</v>
      </c>
      <c r="J30" s="158"/>
      <c r="K30" s="11"/>
      <c r="L30" s="160"/>
      <c r="M30" s="161">
        <f>SUM(M10:M29)</f>
        <v>5888339761.6996355</v>
      </c>
      <c r="N30" s="158"/>
      <c r="O30" s="11"/>
      <c r="P30" s="598"/>
      <c r="Q30" s="172">
        <f>SUM(Q10:Q29)</f>
        <v>5486583114.1872835</v>
      </c>
      <c r="R30" s="158"/>
      <c r="S30" s="11"/>
      <c r="T30" s="160"/>
      <c r="U30" s="161">
        <f>SUM(U10:U29)</f>
        <v>5139642353.3842926</v>
      </c>
      <c r="V30" s="158"/>
      <c r="W30" s="11"/>
      <c r="X30" s="598"/>
      <c r="Y30" s="172">
        <f>SUM(Y10:Y29)</f>
        <v>4824011514.4437151</v>
      </c>
      <c r="Z30" s="158"/>
      <c r="AA30" s="11"/>
      <c r="AB30" s="160"/>
      <c r="AC30" s="161">
        <f>SUM(AC10:AC29)</f>
        <v>4531349822.0179214</v>
      </c>
      <c r="AD30" s="158"/>
      <c r="AE30" s="11"/>
      <c r="AF30" s="598"/>
      <c r="AG30" s="172">
        <f>SUM(AG10:AG29)</f>
        <v>4257959618.7446585</v>
      </c>
      <c r="AH30" s="158"/>
      <c r="AI30" s="11"/>
      <c r="AJ30" s="598"/>
      <c r="AK30" s="172">
        <f>SUM(AK10:AK29)</f>
        <v>4001752756.3507338</v>
      </c>
      <c r="AL30" s="158"/>
      <c r="AM30" s="11"/>
      <c r="AN30" s="598"/>
      <c r="AO30" s="172">
        <f>SUM(AO10:AO29)</f>
        <v>3761289278.7617798</v>
      </c>
      <c r="AP30" s="158"/>
      <c r="AQ30" s="11"/>
      <c r="AR30" s="598"/>
      <c r="AS30" s="172">
        <f>SUM(AS10:AS29)</f>
        <v>3535434348.5387964</v>
      </c>
      <c r="AT30" s="158"/>
      <c r="AU30" s="11"/>
      <c r="AV30" s="598"/>
      <c r="AW30" s="172">
        <f>SUM(AW10:AW29)</f>
        <v>3323219896.5294991</v>
      </c>
      <c r="AX30" s="158"/>
      <c r="AY30" s="11"/>
      <c r="AZ30" s="179"/>
      <c r="BA30" s="161">
        <f>SUM(BA10:BA29)</f>
        <v>3123782606.1021624</v>
      </c>
      <c r="BB30" s="158"/>
      <c r="BC30" s="11"/>
      <c r="BD30" s="161">
        <f>G30+I30+M30+Q30+U30+Y30+AC30+AW30+BA30</f>
        <v>46109001390.212227</v>
      </c>
      <c r="BJ30" s="253" t="s">
        <v>1383</v>
      </c>
      <c r="BM30" s="473"/>
      <c r="BR30" s="982" t="s">
        <v>989</v>
      </c>
      <c r="BS30" s="983">
        <f>BS29+1</f>
        <v>2023</v>
      </c>
      <c r="BT30" s="910">
        <f>BT29+BV29</f>
        <v>89797533345722.047</v>
      </c>
      <c r="BU30" s="985">
        <f>BU29</f>
        <v>2.5000000000000001E-2</v>
      </c>
      <c r="BV30" s="910">
        <f t="shared" si="5"/>
        <v>2244938333643.0513</v>
      </c>
      <c r="BX30" s="75"/>
      <c r="BY30" s="968">
        <f>BY29+1</f>
        <v>2023</v>
      </c>
      <c r="BZ30" s="305">
        <f>BZ20</f>
        <v>10737418.24</v>
      </c>
      <c r="CA30" s="986">
        <v>64</v>
      </c>
      <c r="CB30" s="411">
        <f t="shared" si="0"/>
        <v>687194767.36000001</v>
      </c>
      <c r="CC30" s="980">
        <v>3</v>
      </c>
      <c r="CD30" s="980"/>
      <c r="CE30" s="305">
        <f t="shared" si="1"/>
        <v>2061584302.0799999</v>
      </c>
      <c r="CF30" s="978" t="s">
        <v>1144</v>
      </c>
      <c r="CG30" s="305">
        <f t="shared" si="7"/>
        <v>2061584302.0799999</v>
      </c>
      <c r="CH30" s="691">
        <f t="shared" si="8"/>
        <v>5480378269.6960001</v>
      </c>
      <c r="CI30" s="893">
        <f t="shared" si="12"/>
        <v>0.125</v>
      </c>
      <c r="CJ30" s="973">
        <f t="shared" si="11"/>
        <v>685047283.71200001</v>
      </c>
      <c r="CK30" s="305">
        <f t="shared" si="13"/>
        <v>1075536338.1642158</v>
      </c>
      <c r="CL30" s="910">
        <f t="shared" si="9"/>
        <v>0</v>
      </c>
      <c r="CM30" s="981">
        <f>CM29+1</f>
        <v>2023</v>
      </c>
    </row>
    <row r="31" spans="1:93" x14ac:dyDescent="0.3">
      <c r="I31" s="30"/>
      <c r="Q31" s="30"/>
      <c r="Y31" s="30"/>
      <c r="BD31" s="999" t="s">
        <v>1355</v>
      </c>
      <c r="BF31" s="77" t="s">
        <v>1382</v>
      </c>
      <c r="BG31" s="567">
        <f>BD34</f>
        <v>8.7890541028515035</v>
      </c>
      <c r="BH31" s="76"/>
      <c r="BI31" s="76" t="s">
        <v>957</v>
      </c>
      <c r="BM31" s="473"/>
      <c r="BR31" s="982" t="s">
        <v>989</v>
      </c>
      <c r="BS31" s="983">
        <f t="shared" si="2"/>
        <v>2024</v>
      </c>
      <c r="BT31" s="910">
        <f t="shared" si="3"/>
        <v>92042471679365.094</v>
      </c>
      <c r="BU31" s="985">
        <f t="shared" si="4"/>
        <v>2.5000000000000001E-2</v>
      </c>
      <c r="BV31" s="910">
        <f t="shared" si="5"/>
        <v>2301061791984.1274</v>
      </c>
      <c r="BW31" s="895" t="s">
        <v>1282</v>
      </c>
      <c r="BX31" s="75"/>
      <c r="BY31" s="968">
        <f t="shared" si="6"/>
        <v>2024</v>
      </c>
      <c r="BZ31" s="305">
        <f>BZ20</f>
        <v>10737418.24</v>
      </c>
      <c r="CA31" s="986">
        <v>64</v>
      </c>
      <c r="CB31" s="411">
        <f t="shared" si="0"/>
        <v>687194767.36000001</v>
      </c>
      <c r="CC31" s="980">
        <v>8</v>
      </c>
      <c r="CD31" s="980"/>
      <c r="CE31" s="305">
        <f t="shared" si="1"/>
        <v>5497558138.8800001</v>
      </c>
      <c r="CF31" s="978" t="s">
        <v>1144</v>
      </c>
      <c r="CG31" s="305">
        <f t="shared" si="7"/>
        <v>5497558138.8800001</v>
      </c>
      <c r="CH31" s="691">
        <f t="shared" si="8"/>
        <v>10977936408.576</v>
      </c>
      <c r="CI31" s="893">
        <f t="shared" si="12"/>
        <v>0.125</v>
      </c>
      <c r="CJ31" s="995">
        <f t="shared" si="11"/>
        <v>1372242051.072</v>
      </c>
      <c r="CK31" s="305">
        <f t="shared" si="13"/>
        <v>1075536338.1642158</v>
      </c>
      <c r="CL31" s="910">
        <f t="shared" si="9"/>
        <v>0</v>
      </c>
      <c r="CM31" s="981">
        <f t="shared" si="10"/>
        <v>2024</v>
      </c>
      <c r="CN31" s="1000">
        <v>0.125</v>
      </c>
      <c r="CO31" s="1001">
        <f>CJ31*CI31</f>
        <v>171530256.384</v>
      </c>
    </row>
    <row r="32" spans="1:93" x14ac:dyDescent="0.3">
      <c r="A32" s="690"/>
      <c r="B32" s="690"/>
      <c r="I32" s="690"/>
      <c r="BC32" s="1150" t="s">
        <v>306</v>
      </c>
      <c r="BD32" s="182">
        <f>E8</f>
        <v>14739227322.529808</v>
      </c>
      <c r="BF32" s="736">
        <f>BD47</f>
        <v>14739227322.529808</v>
      </c>
      <c r="BG32" s="568">
        <f>BF32*BD34</f>
        <v>129543866371.94159</v>
      </c>
      <c r="BH32" s="208">
        <f>BE49</f>
        <v>0.66163000000000005</v>
      </c>
      <c r="BI32" s="691">
        <f>BG32*BH32</f>
        <v>85710108307.667725</v>
      </c>
      <c r="BM32" s="473"/>
      <c r="BR32" s="332" t="s">
        <v>989</v>
      </c>
      <c r="BS32" s="953">
        <f>BS31+1</f>
        <v>2025</v>
      </c>
      <c r="BT32" s="691">
        <f>BT31+BV31</f>
        <v>94343533471349.219</v>
      </c>
      <c r="BU32" s="894">
        <f>BU31</f>
        <v>2.5000000000000001E-2</v>
      </c>
      <c r="BV32" s="691">
        <f t="shared" si="5"/>
        <v>2358588336783.7305</v>
      </c>
      <c r="BX32" s="332" t="s">
        <v>963</v>
      </c>
      <c r="BY32" s="953">
        <f>BY31+1</f>
        <v>2025</v>
      </c>
      <c r="BZ32" s="691">
        <f>BZ20</f>
        <v>10737418.24</v>
      </c>
      <c r="CA32" s="987">
        <v>64</v>
      </c>
      <c r="CB32" s="875">
        <f t="shared" si="0"/>
        <v>687194767.36000001</v>
      </c>
      <c r="CC32" s="977"/>
      <c r="CD32" s="977"/>
      <c r="CE32" s="691">
        <f t="shared" si="1"/>
        <v>0</v>
      </c>
      <c r="CG32" s="691">
        <f t="shared" si="7"/>
        <v>0</v>
      </c>
      <c r="CH32" s="691">
        <f t="shared" si="8"/>
        <v>10977936408.576</v>
      </c>
      <c r="CI32" s="894">
        <f>CI31</f>
        <v>0.125</v>
      </c>
      <c r="CJ32" s="975">
        <f t="shared" si="11"/>
        <v>1372242051.072</v>
      </c>
      <c r="CK32" s="691">
        <f t="shared" si="13"/>
        <v>1075536338.1642158</v>
      </c>
      <c r="CL32" s="183">
        <f t="shared" si="9"/>
        <v>0</v>
      </c>
      <c r="CM32" s="949">
        <f>CM31+1</f>
        <v>2025</v>
      </c>
    </row>
    <row r="33" spans="1:91" x14ac:dyDescent="0.3">
      <c r="I33" s="690"/>
      <c r="J33" s="18"/>
      <c r="K33" s="690"/>
      <c r="BC33" s="122" t="s">
        <v>307</v>
      </c>
      <c r="BD33" s="183">
        <f>BD29+BD5</f>
        <v>129543866371.94159</v>
      </c>
      <c r="BG33" s="248"/>
      <c r="BI33" s="181"/>
      <c r="BM33" s="473"/>
      <c r="BR33" s="332" t="s">
        <v>989</v>
      </c>
      <c r="BS33" s="953">
        <f t="shared" si="2"/>
        <v>2026</v>
      </c>
      <c r="BT33" s="691">
        <f t="shared" si="3"/>
        <v>96702121808132.953</v>
      </c>
      <c r="BU33" s="894">
        <f t="shared" si="4"/>
        <v>2.5000000000000001E-2</v>
      </c>
      <c r="BV33" s="691">
        <f t="shared" si="5"/>
        <v>2417553045203.3237</v>
      </c>
      <c r="BX33" s="332"/>
      <c r="BY33" s="953">
        <f t="shared" si="6"/>
        <v>2026</v>
      </c>
      <c r="BZ33" s="691">
        <f>BZ20</f>
        <v>10737418.24</v>
      </c>
      <c r="CA33" s="987">
        <v>64</v>
      </c>
      <c r="CB33" s="875">
        <f t="shared" si="0"/>
        <v>687194767.36000001</v>
      </c>
      <c r="CC33" s="977"/>
      <c r="CD33" s="977"/>
      <c r="CE33" s="691">
        <f t="shared" si="1"/>
        <v>0</v>
      </c>
      <c r="CG33" s="691">
        <f t="shared" si="7"/>
        <v>0</v>
      </c>
      <c r="CH33" s="691">
        <f t="shared" si="8"/>
        <v>10977936408.576</v>
      </c>
      <c r="CI33" s="894">
        <f>CI32</f>
        <v>0.125</v>
      </c>
      <c r="CJ33" s="975">
        <f t="shared" si="11"/>
        <v>1372242051.072</v>
      </c>
      <c r="CK33" s="691">
        <f t="shared" si="13"/>
        <v>1075536338.1642158</v>
      </c>
      <c r="CL33" s="183">
        <f t="shared" si="9"/>
        <v>0</v>
      </c>
      <c r="CM33" s="949">
        <f t="shared" si="10"/>
        <v>2026</v>
      </c>
    </row>
    <row r="34" spans="1:91" x14ac:dyDescent="0.3">
      <c r="A34" s="690"/>
      <c r="B34" s="690"/>
      <c r="C34" s="900" t="s">
        <v>1036</v>
      </c>
      <c r="D34" s="901" t="s">
        <v>1287</v>
      </c>
      <c r="E34" s="4"/>
      <c r="F34" s="4"/>
      <c r="G34" s="5"/>
      <c r="BC34" s="1150" t="s">
        <v>310</v>
      </c>
      <c r="BD34" s="184">
        <f>BD33/BD32</f>
        <v>8.7890541028515035</v>
      </c>
      <c r="BE34" s="239"/>
      <c r="BF34" s="239" t="s">
        <v>974</v>
      </c>
      <c r="BG34" s="248" t="s">
        <v>1384</v>
      </c>
      <c r="BH34" s="239"/>
      <c r="BI34" s="181"/>
      <c r="BM34" s="473"/>
      <c r="BR34" s="332" t="s">
        <v>989</v>
      </c>
      <c r="BS34" s="953">
        <f t="shared" si="2"/>
        <v>2027</v>
      </c>
      <c r="BT34" s="691">
        <f t="shared" si="3"/>
        <v>99119674853336.281</v>
      </c>
      <c r="BU34" s="894">
        <f t="shared" si="4"/>
        <v>2.5000000000000001E-2</v>
      </c>
      <c r="BV34" s="691">
        <f t="shared" si="5"/>
        <v>2477991871333.4072</v>
      </c>
      <c r="BX34" s="76"/>
      <c r="BY34" s="953">
        <f t="shared" si="6"/>
        <v>2027</v>
      </c>
      <c r="BZ34" s="691">
        <f>BZ20</f>
        <v>10737418.24</v>
      </c>
      <c r="CA34" s="987">
        <v>64</v>
      </c>
      <c r="CB34" s="875">
        <f t="shared" si="0"/>
        <v>687194767.36000001</v>
      </c>
      <c r="CC34" s="977"/>
      <c r="CD34" s="977"/>
      <c r="CE34" s="691">
        <f t="shared" si="1"/>
        <v>0</v>
      </c>
      <c r="CG34" s="691">
        <f t="shared" si="7"/>
        <v>0</v>
      </c>
      <c r="CH34" s="691">
        <f t="shared" si="8"/>
        <v>10977936408.576</v>
      </c>
      <c r="CI34" s="894">
        <f t="shared" ref="CI34:CI55" si="14">CI33</f>
        <v>0.125</v>
      </c>
      <c r="CJ34" s="975">
        <f t="shared" si="11"/>
        <v>1372242051.072</v>
      </c>
      <c r="CK34" s="691">
        <f t="shared" si="13"/>
        <v>1075536338.1642158</v>
      </c>
      <c r="CL34" s="183">
        <f t="shared" si="9"/>
        <v>0</v>
      </c>
      <c r="CM34" s="949">
        <f t="shared" si="10"/>
        <v>2027</v>
      </c>
    </row>
    <row r="35" spans="1:91" x14ac:dyDescent="0.3">
      <c r="A35" s="690"/>
      <c r="B35" s="690"/>
      <c r="C35" s="122" t="s">
        <v>732</v>
      </c>
      <c r="D35" s="287" t="s">
        <v>1288</v>
      </c>
      <c r="E35" s="7" t="s">
        <v>1289</v>
      </c>
      <c r="F35" s="7"/>
      <c r="G35" s="8"/>
      <c r="BB35" s="38"/>
      <c r="BC35" s="1150" t="s">
        <v>785</v>
      </c>
      <c r="BD35" s="472"/>
      <c r="BE35" s="473"/>
      <c r="BF35" s="472"/>
      <c r="BG35" s="472">
        <f>BF35-BD35</f>
        <v>0</v>
      </c>
      <c r="BH35" s="473"/>
      <c r="BI35" s="563"/>
      <c r="BJ35" s="473"/>
      <c r="BK35" s="473"/>
      <c r="BL35" s="473"/>
      <c r="BM35" s="473"/>
      <c r="BN35" s="88"/>
      <c r="BO35" s="88"/>
      <c r="BP35" s="88"/>
      <c r="BQ35" s="88"/>
      <c r="BR35" s="332" t="s">
        <v>989</v>
      </c>
      <c r="BS35" s="953">
        <f t="shared" si="2"/>
        <v>2028</v>
      </c>
      <c r="BT35" s="691">
        <f t="shared" si="3"/>
        <v>101597666724669.69</v>
      </c>
      <c r="BU35" s="894">
        <f t="shared" si="4"/>
        <v>2.5000000000000001E-2</v>
      </c>
      <c r="BV35" s="691">
        <f t="shared" si="5"/>
        <v>2539941668116.7422</v>
      </c>
      <c r="BX35" s="76"/>
      <c r="BY35" s="953">
        <f t="shared" si="6"/>
        <v>2028</v>
      </c>
      <c r="BZ35" s="691">
        <f>BZ20</f>
        <v>10737418.24</v>
      </c>
      <c r="CA35" s="987">
        <v>64</v>
      </c>
      <c r="CB35" s="875">
        <f t="shared" si="0"/>
        <v>687194767.36000001</v>
      </c>
      <c r="CC35" s="977"/>
      <c r="CD35" s="977"/>
      <c r="CE35" s="691">
        <f t="shared" si="1"/>
        <v>0</v>
      </c>
      <c r="CG35" s="691">
        <f t="shared" si="7"/>
        <v>0</v>
      </c>
      <c r="CH35" s="691">
        <f t="shared" si="8"/>
        <v>10977936408.576</v>
      </c>
      <c r="CI35" s="894">
        <f t="shared" si="14"/>
        <v>0.125</v>
      </c>
      <c r="CJ35" s="975">
        <f t="shared" si="11"/>
        <v>1372242051.072</v>
      </c>
      <c r="CK35" s="691">
        <f t="shared" si="13"/>
        <v>1075536338.1642158</v>
      </c>
      <c r="CL35" s="183">
        <f t="shared" si="9"/>
        <v>0</v>
      </c>
      <c r="CM35" s="949">
        <f t="shared" si="10"/>
        <v>2028</v>
      </c>
    </row>
    <row r="36" spans="1:91" x14ac:dyDescent="0.3">
      <c r="A36" s="690"/>
      <c r="B36" s="690"/>
      <c r="C36" s="1151">
        <v>32</v>
      </c>
      <c r="D36" s="411">
        <f>'POP Dimensions'!J15</f>
        <v>21474836.48</v>
      </c>
      <c r="E36" s="411">
        <f>C36*D36</f>
        <v>687194767.36000001</v>
      </c>
      <c r="F36" s="896"/>
      <c r="G36" s="902" t="s">
        <v>732</v>
      </c>
      <c r="BB36" s="38"/>
      <c r="BC36" s="1206" t="s">
        <v>1445</v>
      </c>
      <c r="BD36" s="1207">
        <f>'POP Dimensions'!L16*125%</f>
        <v>429496729.60000002</v>
      </c>
      <c r="BE36" s="88"/>
      <c r="BF36" s="511"/>
      <c r="BG36" s="511"/>
      <c r="BH36" s="88"/>
      <c r="BI36" s="181"/>
      <c r="BJ36" s="88"/>
      <c r="BK36" s="88"/>
      <c r="BL36" s="616">
        <f>BI47*BN47</f>
        <v>920424716793.65088</v>
      </c>
      <c r="BM36" s="617" t="s">
        <v>778</v>
      </c>
      <c r="BN36" s="88"/>
      <c r="BO36" s="88"/>
      <c r="BP36" s="88"/>
      <c r="BQ36" s="88"/>
      <c r="BR36" s="332" t="s">
        <v>989</v>
      </c>
      <c r="BS36" s="953">
        <f>BS35+1</f>
        <v>2029</v>
      </c>
      <c r="BT36" s="691">
        <f>BT35+BV35</f>
        <v>104137608392786.44</v>
      </c>
      <c r="BU36" s="894">
        <f>BU35</f>
        <v>2.5000000000000001E-2</v>
      </c>
      <c r="BV36" s="691">
        <f>BT36*BU36</f>
        <v>2603440209819.6611</v>
      </c>
      <c r="BX36" s="76"/>
      <c r="BY36" s="953">
        <f>BY35+1</f>
        <v>2029</v>
      </c>
      <c r="BZ36" s="691">
        <f>BZ20</f>
        <v>10737418.24</v>
      </c>
      <c r="CA36" s="987">
        <v>64</v>
      </c>
      <c r="CB36" s="875">
        <f>CA36*BZ36</f>
        <v>687194767.36000001</v>
      </c>
      <c r="CC36" s="977"/>
      <c r="CD36" s="977"/>
      <c r="CE36" s="691">
        <f>CB36*CC36</f>
        <v>0</v>
      </c>
      <c r="CG36" s="691">
        <f t="shared" si="7"/>
        <v>0</v>
      </c>
      <c r="CH36" s="691">
        <f>CG36+CH35-CL36</f>
        <v>10977936408.576</v>
      </c>
      <c r="CI36" s="894">
        <f t="shared" si="14"/>
        <v>0.125</v>
      </c>
      <c r="CJ36" s="975">
        <f t="shared" si="11"/>
        <v>1372242051.072</v>
      </c>
      <c r="CK36" s="691">
        <f t="shared" si="13"/>
        <v>1075536338.1642158</v>
      </c>
      <c r="CL36" s="183">
        <f>CB36*CD36</f>
        <v>0</v>
      </c>
      <c r="CM36" s="949">
        <f t="shared" si="10"/>
        <v>2029</v>
      </c>
    </row>
    <row r="37" spans="1:91" x14ac:dyDescent="0.3">
      <c r="A37" s="690"/>
      <c r="B37" s="690"/>
      <c r="C37" s="1152">
        <f>C36*2</f>
        <v>64</v>
      </c>
      <c r="D37" s="897">
        <f>D36</f>
        <v>21474836.48</v>
      </c>
      <c r="E37" s="897">
        <f t="shared" ref="E37:E43" si="15">C37*D37</f>
        <v>1374389534.72</v>
      </c>
      <c r="F37" s="874"/>
      <c r="G37" s="903" t="s">
        <v>732</v>
      </c>
      <c r="BB37" s="38"/>
      <c r="BC37" s="1206" t="s">
        <v>1444</v>
      </c>
      <c r="BD37" s="1207">
        <f>'POP Dimensions'!H17*125%</f>
        <v>858993459.20000005</v>
      </c>
      <c r="BE37" s="88"/>
      <c r="BF37" s="511"/>
      <c r="BG37" s="511"/>
      <c r="BH37" s="88"/>
      <c r="BI37" s="181"/>
      <c r="BJ37" s="88"/>
      <c r="BK37" s="88"/>
      <c r="BL37" s="616"/>
      <c r="BM37" s="617"/>
      <c r="BN37" s="88"/>
      <c r="BO37" s="88"/>
      <c r="BP37" s="88"/>
      <c r="BQ37" s="88"/>
      <c r="BR37" s="332" t="s">
        <v>989</v>
      </c>
      <c r="BS37" s="953">
        <f>BS36+1</f>
        <v>2030</v>
      </c>
      <c r="BT37" s="691">
        <f>BT36+BV36</f>
        <v>106741048602606.09</v>
      </c>
      <c r="BU37" s="894">
        <f>BU36</f>
        <v>2.5000000000000001E-2</v>
      </c>
      <c r="BV37" s="691">
        <f>BT37*BU37</f>
        <v>2668526215065.1523</v>
      </c>
      <c r="BX37" s="76"/>
      <c r="BY37" s="953">
        <f>BY36+1</f>
        <v>2030</v>
      </c>
      <c r="BZ37" s="691">
        <f>BZ20</f>
        <v>10737418.24</v>
      </c>
      <c r="CA37" s="987">
        <v>64</v>
      </c>
      <c r="CB37" s="875">
        <f t="shared" ref="CB37:CB55" si="16">CA37*BZ37</f>
        <v>687194767.36000001</v>
      </c>
      <c r="CC37" s="977"/>
      <c r="CD37" s="977"/>
      <c r="CE37" s="691">
        <f t="shared" ref="CE37:CE55" si="17">CB37*CC37</f>
        <v>0</v>
      </c>
      <c r="CG37" s="691">
        <f t="shared" si="7"/>
        <v>0</v>
      </c>
      <c r="CH37" s="691">
        <f>CG37+CH36-CL37</f>
        <v>10977936408.576</v>
      </c>
      <c r="CI37" s="894">
        <f t="shared" si="14"/>
        <v>0.125</v>
      </c>
      <c r="CJ37" s="975">
        <f t="shared" si="11"/>
        <v>1372242051.072</v>
      </c>
      <c r="CK37" s="691">
        <f t="shared" si="13"/>
        <v>1075536338.1642158</v>
      </c>
      <c r="CL37" s="183">
        <f>CB37*CD37</f>
        <v>0</v>
      </c>
      <c r="CM37" s="949">
        <f t="shared" si="10"/>
        <v>2030</v>
      </c>
    </row>
    <row r="38" spans="1:91" x14ac:dyDescent="0.3">
      <c r="A38" s="690"/>
      <c r="B38" s="690"/>
      <c r="C38" s="1121">
        <f>C37*2</f>
        <v>128</v>
      </c>
      <c r="D38" s="875">
        <f t="shared" ref="D38:D43" si="18">D37</f>
        <v>21474836.48</v>
      </c>
      <c r="E38" s="875">
        <f t="shared" si="15"/>
        <v>2748779069.4400001</v>
      </c>
      <c r="F38" s="410"/>
      <c r="G38" s="126" t="s">
        <v>732</v>
      </c>
      <c r="AY38" s="1162" t="s">
        <v>1435</v>
      </c>
      <c r="AZ38" s="1160"/>
      <c r="BA38" s="1160"/>
      <c r="BB38" s="1160"/>
      <c r="BC38" s="1161" t="s">
        <v>1284</v>
      </c>
      <c r="BD38" s="1164">
        <f>'POP Dimensions'!L16*125%</f>
        <v>429496729.60000002</v>
      </c>
      <c r="BE38" s="88"/>
      <c r="BF38" s="88"/>
      <c r="BG38" s="253"/>
      <c r="BH38" s="88"/>
      <c r="BI38" s="181"/>
      <c r="BR38" s="332" t="s">
        <v>989</v>
      </c>
      <c r="BS38" s="953">
        <f>BS37+1</f>
        <v>2031</v>
      </c>
      <c r="BT38" s="691">
        <f>BT37+BV37</f>
        <v>109409574817671.25</v>
      </c>
      <c r="BU38" s="894">
        <f>BU37</f>
        <v>2.5000000000000001E-2</v>
      </c>
      <c r="BV38" s="691">
        <f>BT38*BU38</f>
        <v>2735239370441.7813</v>
      </c>
      <c r="BX38" s="76"/>
      <c r="BY38" s="953">
        <f t="shared" ref="BY38:BY55" si="19">BY37+1</f>
        <v>2031</v>
      </c>
      <c r="BZ38" s="691">
        <f>BZ20</f>
        <v>10737418.24</v>
      </c>
      <c r="CA38" s="987">
        <v>64</v>
      </c>
      <c r="CB38" s="875">
        <f t="shared" si="16"/>
        <v>687194767.36000001</v>
      </c>
      <c r="CC38" s="977"/>
      <c r="CD38" s="977"/>
      <c r="CE38" s="691">
        <f t="shared" si="17"/>
        <v>0</v>
      </c>
      <c r="CG38" s="691">
        <f t="shared" si="7"/>
        <v>0</v>
      </c>
      <c r="CH38" s="691">
        <f t="shared" ref="CH38:CH55" si="20">CG38+CH37-CL38</f>
        <v>10977936408.576</v>
      </c>
      <c r="CI38" s="894">
        <f t="shared" si="14"/>
        <v>0.125</v>
      </c>
      <c r="CJ38" s="975">
        <f t="shared" si="11"/>
        <v>1372242051.072</v>
      </c>
      <c r="CK38" s="691">
        <f t="shared" si="13"/>
        <v>1075536338.1642158</v>
      </c>
      <c r="CL38" s="183">
        <f t="shared" ref="CL38:CL55" si="21">CB38*CD38</f>
        <v>0</v>
      </c>
      <c r="CM38" s="949">
        <f t="shared" si="10"/>
        <v>2031</v>
      </c>
    </row>
    <row r="39" spans="1:91" x14ac:dyDescent="0.3">
      <c r="A39" s="690"/>
      <c r="B39" s="690"/>
      <c r="C39" s="1151">
        <f>C38*2</f>
        <v>256</v>
      </c>
      <c r="D39" s="411">
        <f t="shared" si="18"/>
        <v>21474836.48</v>
      </c>
      <c r="E39" s="411">
        <f t="shared" si="15"/>
        <v>5497558138.8800001</v>
      </c>
      <c r="F39" s="896"/>
      <c r="G39" s="902" t="s">
        <v>732</v>
      </c>
      <c r="AY39" s="1163" t="s">
        <v>1436</v>
      </c>
      <c r="BC39" s="1155" t="s">
        <v>1279</v>
      </c>
      <c r="BD39" s="1164">
        <v>-4400000000</v>
      </c>
      <c r="BE39" s="208">
        <v>0.05</v>
      </c>
      <c r="BF39" s="76">
        <f>BD49*BE39</f>
        <v>4285505415.3833866</v>
      </c>
      <c r="BG39" s="253" t="s">
        <v>1465</v>
      </c>
      <c r="BH39" s="88"/>
      <c r="BI39" s="181"/>
      <c r="BL39" s="616"/>
      <c r="BM39" s="617"/>
      <c r="BR39" s="332" t="s">
        <v>989</v>
      </c>
      <c r="BS39" s="953">
        <f>BS38+1</f>
        <v>2032</v>
      </c>
      <c r="BT39" s="691">
        <f>BT38+BV38</f>
        <v>112144814188113.03</v>
      </c>
      <c r="BU39" s="894">
        <f>BU38</f>
        <v>2.5000000000000001E-2</v>
      </c>
      <c r="BV39" s="691">
        <f>BT39*BU39</f>
        <v>2803620354702.8262</v>
      </c>
      <c r="BW39" s="895" t="s">
        <v>1281</v>
      </c>
      <c r="BX39" s="76"/>
      <c r="BY39" s="953">
        <f t="shared" si="19"/>
        <v>2032</v>
      </c>
      <c r="BZ39" s="691">
        <f t="shared" ref="BZ39:BZ55" si="22">BZ29</f>
        <v>10737418.24</v>
      </c>
      <c r="CA39" s="987">
        <v>64</v>
      </c>
      <c r="CB39" s="875">
        <f t="shared" si="16"/>
        <v>687194767.36000001</v>
      </c>
      <c r="CC39" s="977"/>
      <c r="CD39" s="977"/>
      <c r="CE39" s="691">
        <f t="shared" si="17"/>
        <v>0</v>
      </c>
      <c r="CG39" s="691">
        <f t="shared" si="7"/>
        <v>0</v>
      </c>
      <c r="CH39" s="691">
        <f t="shared" si="20"/>
        <v>10977936408.576</v>
      </c>
      <c r="CI39" s="894">
        <f t="shared" si="14"/>
        <v>0.125</v>
      </c>
      <c r="CJ39" s="975">
        <f t="shared" si="11"/>
        <v>1372242051.072</v>
      </c>
      <c r="CK39" s="691">
        <f t="shared" si="13"/>
        <v>1075536338.1642158</v>
      </c>
      <c r="CL39" s="183">
        <f t="shared" si="21"/>
        <v>0</v>
      </c>
      <c r="CM39" s="949">
        <f t="shared" si="10"/>
        <v>2032</v>
      </c>
    </row>
    <row r="40" spans="1:91" x14ac:dyDescent="0.3">
      <c r="A40" s="690"/>
      <c r="B40" s="690"/>
      <c r="C40" s="1152">
        <f t="shared" ref="C40:C43" si="23">C39*2</f>
        <v>512</v>
      </c>
      <c r="D40" s="897">
        <f t="shared" si="18"/>
        <v>21474836.48</v>
      </c>
      <c r="E40" s="897">
        <f t="shared" si="15"/>
        <v>10995116277.76</v>
      </c>
      <c r="F40" s="874"/>
      <c r="G40" s="903" t="s">
        <v>732</v>
      </c>
      <c r="BC40" s="1156" t="s">
        <v>1277</v>
      </c>
      <c r="BD40" s="1164">
        <f>'POP Dimensions'!J17</f>
        <v>1374389534.72</v>
      </c>
      <c r="BE40" s="88"/>
      <c r="BF40" s="253"/>
      <c r="BG40" s="253"/>
      <c r="BH40" s="253"/>
      <c r="BI40" s="181"/>
      <c r="BL40" s="616"/>
      <c r="BM40" s="617"/>
      <c r="BR40" s="332" t="s">
        <v>989</v>
      </c>
      <c r="BS40" s="953">
        <f t="shared" ref="BS40:BS55" si="24">BS39+1</f>
        <v>2033</v>
      </c>
      <c r="BT40" s="691">
        <f t="shared" ref="BT40:BT55" si="25">BT39+BV39</f>
        <v>114948434542815.86</v>
      </c>
      <c r="BU40" s="894">
        <f t="shared" ref="BU40:BU55" si="26">BU39</f>
        <v>2.5000000000000001E-2</v>
      </c>
      <c r="BV40" s="691">
        <f t="shared" ref="BV40:BV55" si="27">BT40*BU40</f>
        <v>2873710863570.3965</v>
      </c>
      <c r="BX40" s="76"/>
      <c r="BY40" s="953">
        <f t="shared" si="19"/>
        <v>2033</v>
      </c>
      <c r="BZ40" s="691">
        <f t="shared" si="22"/>
        <v>10737418.24</v>
      </c>
      <c r="CA40" s="987">
        <v>64</v>
      </c>
      <c r="CB40" s="875">
        <f t="shared" si="16"/>
        <v>687194767.36000001</v>
      </c>
      <c r="CC40" s="969"/>
      <c r="CD40" s="977"/>
      <c r="CE40" s="691">
        <f t="shared" si="17"/>
        <v>0</v>
      </c>
      <c r="CG40" s="691">
        <f t="shared" si="7"/>
        <v>0</v>
      </c>
      <c r="CH40" s="691">
        <f t="shared" si="20"/>
        <v>10977936408.576</v>
      </c>
      <c r="CI40" s="894">
        <f t="shared" si="14"/>
        <v>0.125</v>
      </c>
      <c r="CJ40" s="975">
        <f t="shared" si="11"/>
        <v>1372242051.072</v>
      </c>
      <c r="CK40" s="691">
        <f t="shared" si="13"/>
        <v>1075536338.1642158</v>
      </c>
      <c r="CL40" s="183">
        <f t="shared" si="21"/>
        <v>0</v>
      </c>
      <c r="CM40" s="949">
        <f t="shared" si="10"/>
        <v>2033</v>
      </c>
    </row>
    <row r="41" spans="1:91" x14ac:dyDescent="0.3">
      <c r="A41" s="690"/>
      <c r="B41" s="690"/>
      <c r="C41" s="1121">
        <f t="shared" si="23"/>
        <v>1024</v>
      </c>
      <c r="D41" s="875">
        <f t="shared" si="18"/>
        <v>21474836.48</v>
      </c>
      <c r="E41" s="875">
        <f t="shared" si="15"/>
        <v>21990232555.52</v>
      </c>
      <c r="F41" s="410"/>
      <c r="G41" s="126" t="s">
        <v>732</v>
      </c>
      <c r="BA41" s="173" t="s">
        <v>1433</v>
      </c>
      <c r="BB41" s="1158"/>
      <c r="BC41" s="1159" t="s">
        <v>1285</v>
      </c>
      <c r="BD41" s="719">
        <f>'POP Dimensions'!H17*125%</f>
        <v>858993459.20000005</v>
      </c>
      <c r="BE41" s="88"/>
      <c r="BF41" s="253"/>
      <c r="BG41" s="253"/>
      <c r="BH41" s="1215"/>
      <c r="BI41" s="181"/>
      <c r="BL41" s="12" t="s">
        <v>979</v>
      </c>
      <c r="BR41" s="332" t="s">
        <v>989</v>
      </c>
      <c r="BS41" s="953">
        <f t="shared" si="24"/>
        <v>2034</v>
      </c>
      <c r="BT41" s="691">
        <f t="shared" si="25"/>
        <v>117822145406386.25</v>
      </c>
      <c r="BU41" s="894">
        <f t="shared" si="26"/>
        <v>2.5000000000000001E-2</v>
      </c>
      <c r="BV41" s="691">
        <f t="shared" si="27"/>
        <v>2945553635159.6563</v>
      </c>
      <c r="BX41" s="76"/>
      <c r="BY41" s="953">
        <f t="shared" si="19"/>
        <v>2034</v>
      </c>
      <c r="BZ41" s="691">
        <f t="shared" si="22"/>
        <v>10737418.24</v>
      </c>
      <c r="CA41" s="987">
        <v>64</v>
      </c>
      <c r="CB41" s="875">
        <f t="shared" si="16"/>
        <v>687194767.36000001</v>
      </c>
      <c r="CC41" s="969"/>
      <c r="CD41" s="977"/>
      <c r="CE41" s="691">
        <f t="shared" si="17"/>
        <v>0</v>
      </c>
      <c r="CG41" s="691">
        <f t="shared" si="7"/>
        <v>0</v>
      </c>
      <c r="CH41" s="691">
        <f t="shared" si="20"/>
        <v>10977936408.576</v>
      </c>
      <c r="CI41" s="894">
        <f t="shared" si="14"/>
        <v>0.125</v>
      </c>
      <c r="CJ41" s="975">
        <f t="shared" si="11"/>
        <v>1372242051.072</v>
      </c>
      <c r="CK41" s="691">
        <f t="shared" si="13"/>
        <v>1075536338.1642158</v>
      </c>
      <c r="CL41" s="183">
        <f t="shared" si="21"/>
        <v>0</v>
      </c>
      <c r="CM41" s="949">
        <f t="shared" si="10"/>
        <v>2034</v>
      </c>
    </row>
    <row r="42" spans="1:91" x14ac:dyDescent="0.3">
      <c r="A42" s="690"/>
      <c r="B42" s="690"/>
      <c r="C42" s="1153">
        <f t="shared" si="23"/>
        <v>2048</v>
      </c>
      <c r="D42" s="899">
        <f t="shared" si="18"/>
        <v>21474836.48</v>
      </c>
      <c r="E42" s="899">
        <f t="shared" si="15"/>
        <v>43980465111.040001</v>
      </c>
      <c r="F42" s="898"/>
      <c r="G42" s="905" t="s">
        <v>732</v>
      </c>
      <c r="BA42" s="618" t="s">
        <v>1434</v>
      </c>
      <c r="BC42" s="1155" t="s">
        <v>1278</v>
      </c>
      <c r="BD42" s="1164">
        <f>'Network Cities'!S37*3</f>
        <v>8831250001.5</v>
      </c>
      <c r="BE42" s="88"/>
      <c r="BF42" s="253"/>
      <c r="BG42" s="253"/>
      <c r="BH42" s="1215"/>
      <c r="BI42" s="181"/>
      <c r="BL42" s="12"/>
      <c r="BR42" s="332" t="s">
        <v>989</v>
      </c>
      <c r="BS42" s="953">
        <f t="shared" si="24"/>
        <v>2035</v>
      </c>
      <c r="BT42" s="691">
        <f t="shared" si="25"/>
        <v>120767699041545.91</v>
      </c>
      <c r="BU42" s="894">
        <f t="shared" si="26"/>
        <v>2.5000000000000001E-2</v>
      </c>
      <c r="BV42" s="691">
        <f t="shared" si="27"/>
        <v>3019192476038.6479</v>
      </c>
      <c r="BX42" s="76"/>
      <c r="BY42" s="953">
        <f t="shared" si="19"/>
        <v>2035</v>
      </c>
      <c r="BZ42" s="691">
        <f t="shared" si="22"/>
        <v>10737418.24</v>
      </c>
      <c r="CA42" s="987">
        <v>64</v>
      </c>
      <c r="CB42" s="875">
        <f t="shared" si="16"/>
        <v>687194767.36000001</v>
      </c>
      <c r="CC42" s="969"/>
      <c r="CD42" s="977"/>
      <c r="CE42" s="691">
        <f t="shared" si="17"/>
        <v>0</v>
      </c>
      <c r="CG42" s="691">
        <f t="shared" si="7"/>
        <v>0</v>
      </c>
      <c r="CH42" s="691">
        <f t="shared" si="20"/>
        <v>10977936408.576</v>
      </c>
      <c r="CI42" s="894">
        <f t="shared" si="14"/>
        <v>0.125</v>
      </c>
      <c r="CJ42" s="975">
        <f t="shared" si="11"/>
        <v>1372242051.072</v>
      </c>
      <c r="CK42" s="691">
        <f t="shared" si="13"/>
        <v>1075536338.1642158</v>
      </c>
      <c r="CL42" s="183">
        <f t="shared" si="21"/>
        <v>0</v>
      </c>
      <c r="CM42" s="949">
        <f t="shared" si="10"/>
        <v>2035</v>
      </c>
    </row>
    <row r="43" spans="1:91" x14ac:dyDescent="0.3">
      <c r="A43" s="690"/>
      <c r="B43" s="690"/>
      <c r="C43" s="1154">
        <f t="shared" si="23"/>
        <v>4096</v>
      </c>
      <c r="D43" s="906">
        <f t="shared" si="18"/>
        <v>21474836.48</v>
      </c>
      <c r="E43" s="906">
        <f t="shared" si="15"/>
        <v>87960930222.080002</v>
      </c>
      <c r="F43" s="907"/>
      <c r="G43" s="908" t="s">
        <v>732</v>
      </c>
      <c r="BC43" s="1155" t="s">
        <v>1161</v>
      </c>
      <c r="BD43" s="1164">
        <f>'POP Dimensions'!H17*150%</f>
        <v>1030792151.04</v>
      </c>
      <c r="BE43" s="88"/>
      <c r="BF43" s="600"/>
      <c r="BG43" s="253"/>
      <c r="BH43" s="253"/>
      <c r="BI43" s="181"/>
      <c r="BL43" s="12"/>
      <c r="BR43" s="332" t="s">
        <v>989</v>
      </c>
      <c r="BS43" s="953">
        <f t="shared" si="24"/>
        <v>2036</v>
      </c>
      <c r="BT43" s="691">
        <f t="shared" si="25"/>
        <v>123786891517584.55</v>
      </c>
      <c r="BU43" s="894">
        <f t="shared" si="26"/>
        <v>2.5000000000000001E-2</v>
      </c>
      <c r="BV43" s="691">
        <f t="shared" si="27"/>
        <v>3094672287939.6138</v>
      </c>
      <c r="BX43" s="76"/>
      <c r="BY43" s="953">
        <f t="shared" si="19"/>
        <v>2036</v>
      </c>
      <c r="BZ43" s="691">
        <f t="shared" si="22"/>
        <v>10737418.24</v>
      </c>
      <c r="CA43" s="987">
        <v>64</v>
      </c>
      <c r="CB43" s="875">
        <f t="shared" si="16"/>
        <v>687194767.36000001</v>
      </c>
      <c r="CC43" s="969"/>
      <c r="CD43" s="977"/>
      <c r="CE43" s="691">
        <f t="shared" si="17"/>
        <v>0</v>
      </c>
      <c r="CG43" s="691">
        <f t="shared" si="7"/>
        <v>0</v>
      </c>
      <c r="CH43" s="691">
        <f t="shared" si="20"/>
        <v>10977936408.576</v>
      </c>
      <c r="CI43" s="894">
        <f t="shared" si="14"/>
        <v>0.125</v>
      </c>
      <c r="CJ43" s="975">
        <f t="shared" si="11"/>
        <v>1372242051.072</v>
      </c>
      <c r="CK43" s="691">
        <f t="shared" si="13"/>
        <v>1075536338.1642158</v>
      </c>
      <c r="CL43" s="183">
        <f t="shared" si="21"/>
        <v>0</v>
      </c>
      <c r="CM43" s="949">
        <f t="shared" si="10"/>
        <v>2036</v>
      </c>
    </row>
    <row r="44" spans="1:91" x14ac:dyDescent="0.3">
      <c r="A44" s="690"/>
      <c r="B44" s="690"/>
      <c r="BA44" s="1162" t="s">
        <v>1433</v>
      </c>
      <c r="BB44" s="1160"/>
      <c r="BC44" s="1161" t="s">
        <v>1249</v>
      </c>
      <c r="BD44" s="1164">
        <f>'POP Dimensions'!J17*12.5%</f>
        <v>171798691.84</v>
      </c>
      <c r="BE44" s="88"/>
      <c r="BF44" s="253"/>
      <c r="BG44" s="254"/>
      <c r="BH44" s="253"/>
      <c r="BI44" s="181"/>
      <c r="BL44" s="12"/>
      <c r="BR44" s="332" t="s">
        <v>989</v>
      </c>
      <c r="BS44" s="953">
        <f t="shared" si="24"/>
        <v>2037</v>
      </c>
      <c r="BT44" s="691">
        <f t="shared" si="25"/>
        <v>126881563805524.16</v>
      </c>
      <c r="BU44" s="894">
        <f t="shared" si="26"/>
        <v>2.5000000000000001E-2</v>
      </c>
      <c r="BV44" s="691">
        <f t="shared" si="27"/>
        <v>3172039095138.104</v>
      </c>
      <c r="BX44" s="76"/>
      <c r="BY44" s="953">
        <f t="shared" si="19"/>
        <v>2037</v>
      </c>
      <c r="BZ44" s="691">
        <f t="shared" si="22"/>
        <v>10737418.24</v>
      </c>
      <c r="CA44" s="987">
        <v>64</v>
      </c>
      <c r="CB44" s="875">
        <f t="shared" si="16"/>
        <v>687194767.36000001</v>
      </c>
      <c r="CC44" s="969"/>
      <c r="CD44" s="977"/>
      <c r="CE44" s="691">
        <f t="shared" si="17"/>
        <v>0</v>
      </c>
      <c r="CG44" s="691">
        <f t="shared" si="7"/>
        <v>0</v>
      </c>
      <c r="CH44" s="691">
        <f t="shared" si="20"/>
        <v>10977936408.576</v>
      </c>
      <c r="CI44" s="894">
        <f t="shared" si="14"/>
        <v>0.125</v>
      </c>
      <c r="CJ44" s="975">
        <f t="shared" si="11"/>
        <v>1372242051.072</v>
      </c>
      <c r="CK44" s="691">
        <f t="shared" si="13"/>
        <v>1075536338.1642158</v>
      </c>
      <c r="CL44" s="183">
        <f t="shared" si="21"/>
        <v>0</v>
      </c>
      <c r="CM44" s="949">
        <f t="shared" si="10"/>
        <v>2037</v>
      </c>
    </row>
    <row r="45" spans="1:91" x14ac:dyDescent="0.3">
      <c r="A45" s="690"/>
      <c r="B45" s="690"/>
      <c r="BA45" s="1163" t="s">
        <v>1437</v>
      </c>
      <c r="BC45" s="1157" t="s">
        <v>148</v>
      </c>
      <c r="BD45" s="1164">
        <v>0</v>
      </c>
      <c r="BE45" s="88"/>
      <c r="BF45" s="254"/>
      <c r="BG45" s="254"/>
      <c r="BH45" s="253"/>
      <c r="BI45" s="181"/>
      <c r="BL45" s="12"/>
      <c r="BR45" s="332" t="s">
        <v>989</v>
      </c>
      <c r="BS45" s="953">
        <f t="shared" si="24"/>
        <v>2038</v>
      </c>
      <c r="BT45" s="691">
        <f t="shared" si="25"/>
        <v>130053602900662.27</v>
      </c>
      <c r="BU45" s="894">
        <f t="shared" si="26"/>
        <v>2.5000000000000001E-2</v>
      </c>
      <c r="BV45" s="691">
        <f t="shared" si="27"/>
        <v>3251340072516.5566</v>
      </c>
      <c r="BX45" s="76"/>
      <c r="BY45" s="953">
        <f t="shared" si="19"/>
        <v>2038</v>
      </c>
      <c r="BZ45" s="691">
        <f t="shared" si="22"/>
        <v>10737418.24</v>
      </c>
      <c r="CA45" s="987">
        <v>64</v>
      </c>
      <c r="CB45" s="875">
        <f t="shared" si="16"/>
        <v>687194767.36000001</v>
      </c>
      <c r="CC45" s="969"/>
      <c r="CD45" s="977"/>
      <c r="CE45" s="691">
        <f t="shared" si="17"/>
        <v>0</v>
      </c>
      <c r="CG45" s="691">
        <f t="shared" si="7"/>
        <v>0</v>
      </c>
      <c r="CH45" s="691">
        <f t="shared" si="20"/>
        <v>10977936408.576</v>
      </c>
      <c r="CI45" s="894">
        <f t="shared" si="14"/>
        <v>0.125</v>
      </c>
      <c r="CJ45" s="975">
        <f t="shared" si="11"/>
        <v>1372242051.072</v>
      </c>
      <c r="CK45" s="691">
        <f t="shared" si="13"/>
        <v>1075536338.1642158</v>
      </c>
      <c r="CL45" s="183">
        <f t="shared" si="21"/>
        <v>0</v>
      </c>
      <c r="CM45" s="949">
        <f t="shared" si="10"/>
        <v>2038</v>
      </c>
    </row>
    <row r="46" spans="1:91" x14ac:dyDescent="0.3">
      <c r="A46" s="690"/>
      <c r="B46" s="690"/>
      <c r="BC46" s="1150" t="s">
        <v>948</v>
      </c>
      <c r="BD46" s="1216">
        <f>'2029 - ŔÉŚ 6. Malawi Income '!BB29</f>
        <v>5154016565.8298063</v>
      </c>
      <c r="BE46" s="88"/>
      <c r="BF46" s="253"/>
      <c r="BG46" s="253"/>
      <c r="BH46" s="253"/>
      <c r="BI46" s="181" t="s">
        <v>805</v>
      </c>
      <c r="BJ46" s="1" t="s">
        <v>998</v>
      </c>
      <c r="BL46" s="19">
        <v>0.01</v>
      </c>
      <c r="BR46" s="332" t="s">
        <v>989</v>
      </c>
      <c r="BS46" s="953">
        <f t="shared" si="24"/>
        <v>2039</v>
      </c>
      <c r="BT46" s="691">
        <f t="shared" si="25"/>
        <v>133304942973178.83</v>
      </c>
      <c r="BU46" s="894">
        <f t="shared" si="26"/>
        <v>2.5000000000000001E-2</v>
      </c>
      <c r="BV46" s="691">
        <f t="shared" si="27"/>
        <v>3332623574329.4707</v>
      </c>
      <c r="BX46" s="76"/>
      <c r="BY46" s="953">
        <f t="shared" si="19"/>
        <v>2039</v>
      </c>
      <c r="BZ46" s="691">
        <f t="shared" si="22"/>
        <v>10737418.24</v>
      </c>
      <c r="CA46" s="987">
        <v>64</v>
      </c>
      <c r="CB46" s="875">
        <f t="shared" si="16"/>
        <v>687194767.36000001</v>
      </c>
      <c r="CC46" s="969"/>
      <c r="CD46" s="977"/>
      <c r="CE46" s="691">
        <f t="shared" si="17"/>
        <v>0</v>
      </c>
      <c r="CG46" s="691">
        <f t="shared" si="7"/>
        <v>0</v>
      </c>
      <c r="CH46" s="691">
        <f t="shared" si="20"/>
        <v>10977936408.576</v>
      </c>
      <c r="CI46" s="894">
        <f t="shared" si="14"/>
        <v>0.125</v>
      </c>
      <c r="CJ46" s="975">
        <f t="shared" si="11"/>
        <v>1372242051.072</v>
      </c>
      <c r="CK46" s="691">
        <f t="shared" si="13"/>
        <v>1075536338.1642158</v>
      </c>
      <c r="CL46" s="183">
        <f t="shared" si="21"/>
        <v>0</v>
      </c>
      <c r="CM46" s="949">
        <f t="shared" si="10"/>
        <v>2039</v>
      </c>
    </row>
    <row r="47" spans="1:91" x14ac:dyDescent="0.3">
      <c r="K47" s="690"/>
      <c r="BC47" s="122" t="s">
        <v>1385</v>
      </c>
      <c r="BD47" s="183">
        <f>SUM(BD35:BD46)</f>
        <v>14739227322.529808</v>
      </c>
      <c r="BE47" s="251"/>
      <c r="BF47" s="76" t="s">
        <v>805</v>
      </c>
      <c r="BG47" s="691">
        <f>AE82</f>
        <v>6630548568.2489748</v>
      </c>
      <c r="BH47" s="76"/>
      <c r="BI47" s="691">
        <f>BG47</f>
        <v>6630548568.2489748</v>
      </c>
      <c r="BJ47" s="691">
        <f>BT31</f>
        <v>92042471679365.094</v>
      </c>
      <c r="BK47" s="76"/>
      <c r="BL47" s="736">
        <f>BJ47*BL46</f>
        <v>920424716793.651</v>
      </c>
      <c r="BM47" s="76"/>
      <c r="BN47" s="208">
        <f>BL47/BI47</f>
        <v>138.81577177508268</v>
      </c>
      <c r="BO47" s="76"/>
      <c r="BP47" s="76"/>
      <c r="BQ47" s="76"/>
      <c r="BR47" s="332" t="s">
        <v>989</v>
      </c>
      <c r="BS47" s="953">
        <f t="shared" si="24"/>
        <v>2040</v>
      </c>
      <c r="BT47" s="691">
        <f t="shared" si="25"/>
        <v>136637566547508.3</v>
      </c>
      <c r="BU47" s="894">
        <f t="shared" si="26"/>
        <v>2.5000000000000001E-2</v>
      </c>
      <c r="BV47" s="691">
        <f t="shared" si="27"/>
        <v>3415939163687.7075</v>
      </c>
      <c r="BX47" s="76"/>
      <c r="BY47" s="953">
        <f t="shared" si="19"/>
        <v>2040</v>
      </c>
      <c r="BZ47" s="691">
        <f t="shared" si="22"/>
        <v>10737418.24</v>
      </c>
      <c r="CA47" s="987">
        <v>64</v>
      </c>
      <c r="CB47" s="875">
        <f t="shared" si="16"/>
        <v>687194767.36000001</v>
      </c>
      <c r="CC47" s="969"/>
      <c r="CD47" s="977"/>
      <c r="CE47" s="691">
        <f t="shared" si="17"/>
        <v>0</v>
      </c>
      <c r="CG47" s="691">
        <f t="shared" si="7"/>
        <v>0</v>
      </c>
      <c r="CH47" s="691">
        <f t="shared" si="20"/>
        <v>10977936408.576</v>
      </c>
      <c r="CI47" s="894">
        <f t="shared" si="14"/>
        <v>0.125</v>
      </c>
      <c r="CJ47" s="975">
        <f t="shared" si="11"/>
        <v>1372242051.072</v>
      </c>
      <c r="CK47" s="691">
        <f t="shared" si="13"/>
        <v>1075536338.1642158</v>
      </c>
      <c r="CL47" s="183">
        <f t="shared" si="21"/>
        <v>0</v>
      </c>
      <c r="CM47" s="949">
        <f t="shared" si="10"/>
        <v>2040</v>
      </c>
    </row>
    <row r="48" spans="1:91" ht="16.2" thickBot="1" x14ac:dyDescent="0.35">
      <c r="BC48" s="1150" t="s">
        <v>309</v>
      </c>
      <c r="BD48" s="182">
        <f>BD47*BD34</f>
        <v>129543866371.94159</v>
      </c>
      <c r="BH48" s="565" t="s">
        <v>894</v>
      </c>
      <c r="BI48" s="208">
        <f>BI32/BI47</f>
        <v>12.926548599326894</v>
      </c>
      <c r="BJ48" s="367"/>
      <c r="BL48" s="192">
        <f>BI60</f>
        <v>92340656875.916702</v>
      </c>
      <c r="BM48" s="193"/>
      <c r="BN48" s="1" t="s">
        <v>1339</v>
      </c>
      <c r="BR48" s="332" t="s">
        <v>989</v>
      </c>
      <c r="BS48" s="953">
        <f t="shared" si="24"/>
        <v>2041</v>
      </c>
      <c r="BT48" s="691">
        <f t="shared" si="25"/>
        <v>140053505711196</v>
      </c>
      <c r="BU48" s="894">
        <f t="shared" si="26"/>
        <v>2.5000000000000001E-2</v>
      </c>
      <c r="BV48" s="691">
        <f t="shared" si="27"/>
        <v>3501337642779.9004</v>
      </c>
      <c r="BX48" s="76"/>
      <c r="BY48" s="953">
        <f t="shared" si="19"/>
        <v>2041</v>
      </c>
      <c r="BZ48" s="691">
        <f t="shared" si="22"/>
        <v>10737418.24</v>
      </c>
      <c r="CA48" s="987">
        <v>64</v>
      </c>
      <c r="CB48" s="875">
        <f t="shared" si="16"/>
        <v>687194767.36000001</v>
      </c>
      <c r="CC48" s="969"/>
      <c r="CD48" s="977"/>
      <c r="CE48" s="691">
        <f t="shared" si="17"/>
        <v>0</v>
      </c>
      <c r="CG48" s="691">
        <f t="shared" si="7"/>
        <v>0</v>
      </c>
      <c r="CH48" s="691">
        <f t="shared" si="20"/>
        <v>10977936408.576</v>
      </c>
      <c r="CI48" s="894">
        <f t="shared" si="14"/>
        <v>0.125</v>
      </c>
      <c r="CJ48" s="975">
        <f t="shared" si="11"/>
        <v>1372242051.072</v>
      </c>
      <c r="CK48" s="691">
        <f t="shared" si="13"/>
        <v>1075536338.1642158</v>
      </c>
      <c r="CL48" s="183">
        <f t="shared" si="21"/>
        <v>0</v>
      </c>
      <c r="CM48" s="949">
        <f t="shared" si="10"/>
        <v>2041</v>
      </c>
    </row>
    <row r="49" spans="3:91" ht="16.2" thickBot="1" x14ac:dyDescent="0.35">
      <c r="C49" s="1" t="s">
        <v>801</v>
      </c>
      <c r="BC49" s="1150" t="s">
        <v>308</v>
      </c>
      <c r="BD49" s="182">
        <f>BD48*BE49</f>
        <v>85710108307.667725</v>
      </c>
      <c r="BE49" s="680">
        <v>0.66163000000000005</v>
      </c>
      <c r="BF49" s="1" t="s">
        <v>1275</v>
      </c>
      <c r="BH49" s="565" t="s">
        <v>888</v>
      </c>
      <c r="BI49" s="953">
        <v>8</v>
      </c>
      <c r="BJ49" s="1" t="s">
        <v>889</v>
      </c>
      <c r="BN49" s="1" t="s">
        <v>1340</v>
      </c>
      <c r="BR49" s="332" t="s">
        <v>989</v>
      </c>
      <c r="BS49" s="953">
        <f t="shared" si="24"/>
        <v>2042</v>
      </c>
      <c r="BT49" s="691">
        <f t="shared" si="25"/>
        <v>143554843353975.91</v>
      </c>
      <c r="BU49" s="894">
        <f t="shared" si="26"/>
        <v>2.5000000000000001E-2</v>
      </c>
      <c r="BV49" s="691">
        <f t="shared" si="27"/>
        <v>3588871083849.3979</v>
      </c>
      <c r="BX49" s="76"/>
      <c r="BY49" s="953">
        <f t="shared" si="19"/>
        <v>2042</v>
      </c>
      <c r="BZ49" s="691">
        <f t="shared" si="22"/>
        <v>10737418.24</v>
      </c>
      <c r="CA49" s="987">
        <v>64</v>
      </c>
      <c r="CB49" s="875">
        <f t="shared" si="16"/>
        <v>687194767.36000001</v>
      </c>
      <c r="CC49" s="969"/>
      <c r="CD49" s="977"/>
      <c r="CE49" s="691">
        <f t="shared" si="17"/>
        <v>0</v>
      </c>
      <c r="CG49" s="691">
        <f t="shared" si="7"/>
        <v>0</v>
      </c>
      <c r="CH49" s="691">
        <f t="shared" si="20"/>
        <v>10977936408.576</v>
      </c>
      <c r="CI49" s="894">
        <f t="shared" si="14"/>
        <v>0.125</v>
      </c>
      <c r="CJ49" s="975">
        <f t="shared" si="11"/>
        <v>1372242051.072</v>
      </c>
      <c r="CK49" s="691">
        <f t="shared" si="13"/>
        <v>1075536338.1642158</v>
      </c>
      <c r="CL49" s="183">
        <f t="shared" si="21"/>
        <v>0</v>
      </c>
      <c r="CM49" s="949">
        <f t="shared" si="10"/>
        <v>2042</v>
      </c>
    </row>
    <row r="50" spans="3:91" x14ac:dyDescent="0.3">
      <c r="C50" s="13"/>
      <c r="D50" s="4"/>
      <c r="E50" s="120" t="s">
        <v>275</v>
      </c>
      <c r="F50" s="4"/>
      <c r="G50" s="173" t="s">
        <v>288</v>
      </c>
      <c r="H50" s="462" t="s">
        <v>1367</v>
      </c>
      <c r="I50" s="170" t="s">
        <v>1373</v>
      </c>
      <c r="J50" s="175" t="s">
        <v>297</v>
      </c>
      <c r="K50" s="170" t="s">
        <v>802</v>
      </c>
      <c r="BD50" s="239"/>
      <c r="BF50" s="1" t="s">
        <v>1276</v>
      </c>
      <c r="BH50" s="565" t="s">
        <v>890</v>
      </c>
      <c r="BI50" s="208">
        <f>BI48/BI49</f>
        <v>1.6158185749158618</v>
      </c>
      <c r="BR50" s="332" t="s">
        <v>989</v>
      </c>
      <c r="BS50" s="953">
        <f t="shared" si="24"/>
        <v>2043</v>
      </c>
      <c r="BT50" s="691">
        <f t="shared" si="25"/>
        <v>147143714437825.31</v>
      </c>
      <c r="BU50" s="894">
        <f t="shared" si="26"/>
        <v>2.5000000000000001E-2</v>
      </c>
      <c r="BV50" s="691">
        <f t="shared" si="27"/>
        <v>3678592860945.6328</v>
      </c>
      <c r="BX50" s="76"/>
      <c r="BY50" s="953">
        <f t="shared" si="19"/>
        <v>2043</v>
      </c>
      <c r="BZ50" s="691">
        <f t="shared" si="22"/>
        <v>10737418.24</v>
      </c>
      <c r="CA50" s="987">
        <v>64</v>
      </c>
      <c r="CB50" s="875">
        <f t="shared" si="16"/>
        <v>687194767.36000001</v>
      </c>
      <c r="CC50" s="969"/>
      <c r="CD50" s="977"/>
      <c r="CE50" s="691">
        <f t="shared" si="17"/>
        <v>0</v>
      </c>
      <c r="CG50" s="691">
        <f t="shared" si="7"/>
        <v>0</v>
      </c>
      <c r="CH50" s="691">
        <f t="shared" si="20"/>
        <v>10977936408.576</v>
      </c>
      <c r="CI50" s="894">
        <f t="shared" si="14"/>
        <v>0.125</v>
      </c>
      <c r="CJ50" s="975">
        <f t="shared" si="11"/>
        <v>1372242051.072</v>
      </c>
      <c r="CK50" s="691">
        <f t="shared" si="13"/>
        <v>1075536338.1642158</v>
      </c>
      <c r="CL50" s="183">
        <f t="shared" si="21"/>
        <v>0</v>
      </c>
      <c r="CM50" s="949">
        <f t="shared" si="10"/>
        <v>2043</v>
      </c>
    </row>
    <row r="51" spans="3:91" x14ac:dyDescent="0.3">
      <c r="C51" s="122"/>
      <c r="D51" s="7"/>
      <c r="E51" s="875">
        <f>E8</f>
        <v>14739227322.529808</v>
      </c>
      <c r="F51" s="7"/>
      <c r="G51" s="468" t="s">
        <v>1386</v>
      </c>
      <c r="H51" s="469"/>
      <c r="I51" s="470"/>
      <c r="J51" s="471"/>
      <c r="K51" s="470"/>
      <c r="BD51" s="277" t="s">
        <v>748</v>
      </c>
      <c r="BH51" s="239"/>
      <c r="BI51" s="76"/>
      <c r="BR51" s="332" t="s">
        <v>989</v>
      </c>
      <c r="BS51" s="953">
        <f t="shared" si="24"/>
        <v>2044</v>
      </c>
      <c r="BT51" s="691">
        <f t="shared" si="25"/>
        <v>150822307298770.94</v>
      </c>
      <c r="BU51" s="894">
        <f t="shared" si="26"/>
        <v>2.5000000000000001E-2</v>
      </c>
      <c r="BV51" s="691">
        <f t="shared" si="27"/>
        <v>3770557682469.2734</v>
      </c>
      <c r="BX51" s="76"/>
      <c r="BY51" s="953">
        <f t="shared" si="19"/>
        <v>2044</v>
      </c>
      <c r="BZ51" s="691">
        <f t="shared" si="22"/>
        <v>10737418.24</v>
      </c>
      <c r="CA51" s="987">
        <v>64</v>
      </c>
      <c r="CB51" s="875">
        <f t="shared" si="16"/>
        <v>687194767.36000001</v>
      </c>
      <c r="CC51" s="969"/>
      <c r="CD51" s="977"/>
      <c r="CE51" s="691">
        <f t="shared" si="17"/>
        <v>0</v>
      </c>
      <c r="CG51" s="691">
        <f t="shared" si="7"/>
        <v>0</v>
      </c>
      <c r="CH51" s="691">
        <f t="shared" si="20"/>
        <v>10977936408.576</v>
      </c>
      <c r="CI51" s="894">
        <f t="shared" si="14"/>
        <v>0.125</v>
      </c>
      <c r="CJ51" s="975">
        <f t="shared" si="11"/>
        <v>1372242051.072</v>
      </c>
      <c r="CK51" s="691">
        <f t="shared" si="13"/>
        <v>1075536338.1642158</v>
      </c>
      <c r="CL51" s="183">
        <f t="shared" si="21"/>
        <v>0</v>
      </c>
      <c r="CM51" s="949">
        <f t="shared" si="10"/>
        <v>2044</v>
      </c>
    </row>
    <row r="52" spans="3:91" ht="16.2" thickBot="1" x14ac:dyDescent="0.35">
      <c r="C52" s="122"/>
      <c r="D52" s="7"/>
      <c r="E52" s="7"/>
      <c r="F52" s="127"/>
      <c r="G52" s="127" t="s">
        <v>280</v>
      </c>
      <c r="H52" s="7"/>
      <c r="I52" s="459" t="s">
        <v>282</v>
      </c>
      <c r="J52" s="122"/>
      <c r="K52" s="8"/>
      <c r="BD52" s="277" t="s">
        <v>747</v>
      </c>
      <c r="BF52" s="110" t="s">
        <v>746</v>
      </c>
      <c r="BH52" s="565" t="s">
        <v>891</v>
      </c>
      <c r="BI52" s="76"/>
      <c r="BR52" s="332" t="s">
        <v>989</v>
      </c>
      <c r="BS52" s="953">
        <f t="shared" si="24"/>
        <v>2045</v>
      </c>
      <c r="BT52" s="691">
        <f t="shared" si="25"/>
        <v>154592864981240.22</v>
      </c>
      <c r="BU52" s="894">
        <f t="shared" si="26"/>
        <v>2.5000000000000001E-2</v>
      </c>
      <c r="BV52" s="691">
        <f t="shared" si="27"/>
        <v>3864821624531.0059</v>
      </c>
      <c r="BX52" s="76"/>
      <c r="BY52" s="953">
        <f t="shared" si="19"/>
        <v>2045</v>
      </c>
      <c r="BZ52" s="691">
        <f t="shared" si="22"/>
        <v>10737418.24</v>
      </c>
      <c r="CA52" s="987">
        <v>64</v>
      </c>
      <c r="CB52" s="875">
        <f t="shared" si="16"/>
        <v>687194767.36000001</v>
      </c>
      <c r="CC52" s="969"/>
      <c r="CD52" s="977"/>
      <c r="CE52" s="691">
        <f t="shared" si="17"/>
        <v>0</v>
      </c>
      <c r="CG52" s="691">
        <f t="shared" si="7"/>
        <v>0</v>
      </c>
      <c r="CH52" s="691">
        <f t="shared" si="20"/>
        <v>10977936408.576</v>
      </c>
      <c r="CI52" s="894">
        <f t="shared" si="14"/>
        <v>0.125</v>
      </c>
      <c r="CJ52" s="975">
        <f t="shared" si="11"/>
        <v>1372242051.072</v>
      </c>
      <c r="CK52" s="691">
        <f t="shared" si="13"/>
        <v>1075536338.1642158</v>
      </c>
      <c r="CL52" s="183">
        <f t="shared" si="21"/>
        <v>0</v>
      </c>
      <c r="CM52" s="949">
        <f t="shared" si="10"/>
        <v>2045</v>
      </c>
    </row>
    <row r="53" spans="3:91" ht="16.2" thickBot="1" x14ac:dyDescent="0.35">
      <c r="C53" s="122"/>
      <c r="D53" s="7"/>
      <c r="E53" s="7"/>
      <c r="F53" s="129">
        <v>0.25</v>
      </c>
      <c r="G53" s="130">
        <f>E57*F53</f>
        <v>204789399.96951148</v>
      </c>
      <c r="H53" s="460">
        <v>0.5</v>
      </c>
      <c r="I53" s="130">
        <f>G53*H53</f>
        <v>102394699.98475574</v>
      </c>
      <c r="J53" s="460">
        <v>0</v>
      </c>
      <c r="K53" s="458">
        <f>I53*J53</f>
        <v>0</v>
      </c>
      <c r="BB53" s="933">
        <f>BE53</f>
        <v>1024</v>
      </c>
      <c r="BC53" s="927" t="s">
        <v>745</v>
      </c>
      <c r="BD53" s="578">
        <f>BF53*BE53</f>
        <v>21990232555.52</v>
      </c>
      <c r="BE53" s="934">
        <v>1024</v>
      </c>
      <c r="BF53" s="578">
        <f>'POP Dimensions'!J15</f>
        <v>21474836.48</v>
      </c>
      <c r="BG53" s="239"/>
      <c r="BH53" s="565" t="s">
        <v>901</v>
      </c>
      <c r="BI53" s="484">
        <v>0.17</v>
      </c>
      <c r="BJ53" s="1" t="s">
        <v>895</v>
      </c>
      <c r="BR53" s="332" t="s">
        <v>989</v>
      </c>
      <c r="BS53" s="953">
        <f t="shared" si="24"/>
        <v>2046</v>
      </c>
      <c r="BT53" s="691">
        <f t="shared" si="25"/>
        <v>158457686605771.22</v>
      </c>
      <c r="BU53" s="894">
        <f t="shared" si="26"/>
        <v>2.5000000000000001E-2</v>
      </c>
      <c r="BV53" s="691">
        <f t="shared" si="27"/>
        <v>3961442165144.2808</v>
      </c>
      <c r="BX53" s="76"/>
      <c r="BY53" s="953">
        <f t="shared" si="19"/>
        <v>2046</v>
      </c>
      <c r="BZ53" s="691">
        <f t="shared" si="22"/>
        <v>10737418.24</v>
      </c>
      <c r="CA53" s="987">
        <v>64</v>
      </c>
      <c r="CB53" s="875">
        <f t="shared" si="16"/>
        <v>687194767.36000001</v>
      </c>
      <c r="CC53" s="969"/>
      <c r="CD53" s="977"/>
      <c r="CE53" s="691">
        <f t="shared" si="17"/>
        <v>0</v>
      </c>
      <c r="CG53" s="691">
        <f t="shared" si="7"/>
        <v>0</v>
      </c>
      <c r="CH53" s="691">
        <f t="shared" si="20"/>
        <v>10977936408.576</v>
      </c>
      <c r="CI53" s="894">
        <f t="shared" si="14"/>
        <v>0.125</v>
      </c>
      <c r="CJ53" s="975">
        <f t="shared" si="11"/>
        <v>1372242051.072</v>
      </c>
      <c r="CK53" s="691">
        <f t="shared" si="13"/>
        <v>1075536338.1642158</v>
      </c>
      <c r="CL53" s="183">
        <f t="shared" si="21"/>
        <v>0</v>
      </c>
      <c r="CM53" s="949">
        <f t="shared" si="10"/>
        <v>2046</v>
      </c>
    </row>
    <row r="54" spans="3:91" ht="16.2" thickBot="1" x14ac:dyDescent="0.35">
      <c r="C54" s="122"/>
      <c r="D54" s="7"/>
      <c r="E54" s="7"/>
      <c r="F54" s="133"/>
      <c r="G54" s="134" t="s">
        <v>290</v>
      </c>
      <c r="H54" s="7"/>
      <c r="I54" s="457" t="s">
        <v>283</v>
      </c>
      <c r="J54" s="122"/>
      <c r="K54" s="8"/>
      <c r="BB54" s="927"/>
      <c r="BD54" s="999" t="s">
        <v>1355</v>
      </c>
      <c r="BE54" s="254"/>
      <c r="BF54" s="248" t="s">
        <v>1290</v>
      </c>
      <c r="BH54" s="566"/>
      <c r="BI54" s="76"/>
      <c r="BR54" s="332" t="s">
        <v>989</v>
      </c>
      <c r="BS54" s="953">
        <f t="shared" si="24"/>
        <v>2047</v>
      </c>
      <c r="BT54" s="691">
        <f t="shared" si="25"/>
        <v>162419128770915.5</v>
      </c>
      <c r="BU54" s="894">
        <f t="shared" si="26"/>
        <v>2.5000000000000001E-2</v>
      </c>
      <c r="BV54" s="691">
        <f t="shared" si="27"/>
        <v>4060478219272.8877</v>
      </c>
      <c r="BX54" s="76"/>
      <c r="BY54" s="953">
        <f t="shared" si="19"/>
        <v>2047</v>
      </c>
      <c r="BZ54" s="691">
        <f t="shared" si="22"/>
        <v>10737418.24</v>
      </c>
      <c r="CA54" s="987">
        <v>64</v>
      </c>
      <c r="CB54" s="875">
        <f t="shared" si="16"/>
        <v>687194767.36000001</v>
      </c>
      <c r="CC54" s="969"/>
      <c r="CD54" s="977"/>
      <c r="CE54" s="691">
        <f t="shared" si="17"/>
        <v>0</v>
      </c>
      <c r="CG54" s="691">
        <f t="shared" si="7"/>
        <v>0</v>
      </c>
      <c r="CH54" s="691">
        <f t="shared" si="20"/>
        <v>10977936408.576</v>
      </c>
      <c r="CI54" s="894">
        <f t="shared" si="14"/>
        <v>0.125</v>
      </c>
      <c r="CJ54" s="975">
        <f t="shared" si="11"/>
        <v>1372242051.072</v>
      </c>
      <c r="CK54" s="691">
        <f t="shared" si="13"/>
        <v>1075536338.1642158</v>
      </c>
      <c r="CL54" s="183">
        <f t="shared" si="21"/>
        <v>0</v>
      </c>
      <c r="CM54" s="949">
        <f t="shared" si="10"/>
        <v>2047</v>
      </c>
    </row>
    <row r="55" spans="3:91" ht="16.2" thickBot="1" x14ac:dyDescent="0.35">
      <c r="C55" s="122"/>
      <c r="D55" s="7"/>
      <c r="E55" s="7"/>
      <c r="F55" s="133">
        <v>0.25</v>
      </c>
      <c r="G55" s="135">
        <f>E57*F55</f>
        <v>204789399.96951148</v>
      </c>
      <c r="H55" s="461">
        <v>0.9</v>
      </c>
      <c r="I55" s="135">
        <f>G55*H55</f>
        <v>184310459.97256035</v>
      </c>
      <c r="J55" s="461">
        <v>0</v>
      </c>
      <c r="K55" s="440">
        <f>I55*J55</f>
        <v>0</v>
      </c>
      <c r="BB55" s="239"/>
      <c r="BD55" s="1002" t="s">
        <v>867</v>
      </c>
      <c r="BE55" s="254"/>
      <c r="BF55" s="253"/>
      <c r="BH55" s="239"/>
      <c r="BI55" s="484">
        <v>0.17</v>
      </c>
      <c r="BJ55" s="32">
        <f>BI55</f>
        <v>0.17</v>
      </c>
      <c r="BR55" s="332" t="s">
        <v>989</v>
      </c>
      <c r="BS55" s="953">
        <f t="shared" si="24"/>
        <v>2048</v>
      </c>
      <c r="BT55" s="691">
        <f t="shared" si="25"/>
        <v>166479606990188.38</v>
      </c>
      <c r="BU55" s="894">
        <f t="shared" si="26"/>
        <v>2.5000000000000001E-2</v>
      </c>
      <c r="BV55" s="691">
        <f t="shared" si="27"/>
        <v>4161990174754.7095</v>
      </c>
      <c r="BW55" s="895" t="s">
        <v>1280</v>
      </c>
      <c r="BX55" s="76"/>
      <c r="BY55" s="953">
        <f t="shared" si="19"/>
        <v>2048</v>
      </c>
      <c r="BZ55" s="691">
        <f t="shared" si="22"/>
        <v>10737418.24</v>
      </c>
      <c r="CA55" s="987">
        <v>64</v>
      </c>
      <c r="CB55" s="875">
        <f t="shared" si="16"/>
        <v>687194767.36000001</v>
      </c>
      <c r="CC55" s="969"/>
      <c r="CD55" s="977"/>
      <c r="CE55" s="691">
        <f t="shared" si="17"/>
        <v>0</v>
      </c>
      <c r="CG55" s="691">
        <f t="shared" si="7"/>
        <v>0</v>
      </c>
      <c r="CH55" s="691">
        <f t="shared" si="20"/>
        <v>10977936408.576</v>
      </c>
      <c r="CI55" s="894">
        <f t="shared" si="14"/>
        <v>0.125</v>
      </c>
      <c r="CJ55" s="975">
        <f t="shared" si="11"/>
        <v>1372242051.072</v>
      </c>
      <c r="CK55" s="691">
        <f t="shared" si="13"/>
        <v>1075536338.1642158</v>
      </c>
      <c r="CL55" s="183">
        <f t="shared" si="21"/>
        <v>0</v>
      </c>
      <c r="CM55" s="949">
        <f t="shared" si="10"/>
        <v>2048</v>
      </c>
    </row>
    <row r="56" spans="3:91" ht="18.600000000000001" thickBot="1" x14ac:dyDescent="0.4">
      <c r="C56" s="122"/>
      <c r="D56" s="7"/>
      <c r="E56" s="7"/>
      <c r="F56" s="136"/>
      <c r="G56" s="136" t="s">
        <v>279</v>
      </c>
      <c r="H56" s="7"/>
      <c r="I56" s="451" t="s">
        <v>284</v>
      </c>
      <c r="J56" s="122"/>
      <c r="K56" s="8"/>
      <c r="S56" s="88"/>
      <c r="BB56" s="239"/>
      <c r="BD56" s="719">
        <f>BD48-BD53</f>
        <v>107553633816.42159</v>
      </c>
      <c r="BE56" s="253"/>
      <c r="BF56" s="253"/>
      <c r="BG56" s="253"/>
      <c r="BH56" s="239" t="s">
        <v>892</v>
      </c>
      <c r="BI56" s="615">
        <f>BJ58</f>
        <v>9.5048151465638924</v>
      </c>
      <c r="BJ56" s="569" t="s">
        <v>980</v>
      </c>
      <c r="BK56" s="569"/>
      <c r="BL56" s="181"/>
      <c r="BM56" s="181"/>
      <c r="BN56" s="252"/>
      <c r="BO56" s="252"/>
      <c r="BP56" s="252"/>
      <c r="BQ56" s="252"/>
      <c r="BW56" s="1"/>
      <c r="CC56" s="979">
        <f>SUM(CC22:CC55)</f>
        <v>15.975</v>
      </c>
      <c r="CD56" s="979">
        <f>SUM(CD22:CD55)</f>
        <v>0</v>
      </c>
    </row>
    <row r="57" spans="3:91" ht="16.8" thickTop="1" thickBot="1" x14ac:dyDescent="0.35">
      <c r="C57" s="137" t="s">
        <v>291</v>
      </c>
      <c r="D57" s="138">
        <f>E57/E51</f>
        <v>5.5576698964803502E-2</v>
      </c>
      <c r="E57" s="139">
        <f>E14</f>
        <v>819157599.87804592</v>
      </c>
      <c r="F57" s="140">
        <v>0.5</v>
      </c>
      <c r="G57" s="139">
        <f>E57*F57</f>
        <v>409578799.93902296</v>
      </c>
      <c r="H57" s="463">
        <v>0.95</v>
      </c>
      <c r="I57" s="139">
        <f>G57*H57</f>
        <v>389099859.9420718</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48"/>
      <c r="BC57" s="937" t="s">
        <v>1293</v>
      </c>
      <c r="BD57" s="1003"/>
      <c r="BE57" s="253"/>
      <c r="BF57" s="877" t="s">
        <v>1293</v>
      </c>
      <c r="BG57" s="252"/>
      <c r="BH57" s="239"/>
      <c r="BI57" s="208">
        <f>BI50</f>
        <v>1.6158185749158618</v>
      </c>
      <c r="BJ57" s="80">
        <f>BI57</f>
        <v>1.6158185749158618</v>
      </c>
      <c r="CG57" s="77" t="s">
        <v>966</v>
      </c>
      <c r="CH57" s="77"/>
      <c r="CI57" s="77" t="s">
        <v>965</v>
      </c>
      <c r="CJ57" s="77"/>
      <c r="CK57" s="77"/>
    </row>
    <row r="58" spans="3:91"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48"/>
      <c r="BC58" s="937" t="s">
        <v>1294</v>
      </c>
      <c r="BD58" s="996">
        <f>BD56*BE58</f>
        <v>1075536338.1642158</v>
      </c>
      <c r="BE58" s="923">
        <v>0.01</v>
      </c>
      <c r="BF58" s="924" t="s">
        <v>1443</v>
      </c>
      <c r="BG58" s="925"/>
      <c r="BH58" s="239"/>
      <c r="BI58" s="76"/>
      <c r="BJ58" s="1">
        <f>BJ57/BJ55</f>
        <v>9.5048151465638924</v>
      </c>
      <c r="CG58" s="77" t="s">
        <v>785</v>
      </c>
      <c r="CH58" s="77"/>
      <c r="CI58" s="77" t="s">
        <v>962</v>
      </c>
      <c r="CJ58" s="77"/>
      <c r="CK58" s="77"/>
    </row>
    <row r="59" spans="3:91"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76"/>
      <c r="BA59" s="410"/>
      <c r="BB59" s="928"/>
      <c r="BC59" s="948" t="s">
        <v>1295</v>
      </c>
      <c r="BD59" s="911">
        <f>BD56*BE59</f>
        <v>5377681690.8210793</v>
      </c>
      <c r="BE59" s="912">
        <v>0.05</v>
      </c>
      <c r="BF59" s="875" t="s">
        <v>1162</v>
      </c>
      <c r="BG59" s="126"/>
      <c r="BH59" s="239"/>
      <c r="BI59" s="76"/>
      <c r="BN59" s="32"/>
    </row>
    <row r="60" spans="3:91" ht="16.2" thickBot="1" x14ac:dyDescent="0.35">
      <c r="C60" s="397" t="s">
        <v>276</v>
      </c>
      <c r="D60" s="398">
        <f>100%-D57-D63</f>
        <v>0.78125</v>
      </c>
      <c r="E60" s="399">
        <f>E51*D60</f>
        <v>11515021345.726412</v>
      </c>
      <c r="F60" s="400">
        <v>1</v>
      </c>
      <c r="G60" s="399">
        <f>E60*F60</f>
        <v>11515021345.726412</v>
      </c>
      <c r="H60" s="464">
        <v>0.9</v>
      </c>
      <c r="I60" s="399">
        <f>G60*H60</f>
        <v>10363519211.15377</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76"/>
      <c r="BA60" s="76"/>
      <c r="BB60" s="239"/>
      <c r="BC60" s="948" t="s">
        <v>1296</v>
      </c>
      <c r="BD60" s="911">
        <f>BD56*BE60</f>
        <v>4302145352.6568632</v>
      </c>
      <c r="BE60" s="912">
        <v>0.04</v>
      </c>
      <c r="BF60" s="875" t="s">
        <v>1441</v>
      </c>
      <c r="BG60" s="126"/>
      <c r="BH60" s="239"/>
      <c r="BI60" s="691">
        <f>BI32+BI47</f>
        <v>92340656875.916702</v>
      </c>
      <c r="BJ60" s="1" t="s">
        <v>958</v>
      </c>
      <c r="BW60" s="1"/>
      <c r="CA60" s="1"/>
      <c r="CL60" s="1"/>
      <c r="CM60" s="1"/>
    </row>
    <row r="61" spans="3:91"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76"/>
      <c r="BA61" s="410"/>
      <c r="BB61" s="927"/>
      <c r="BC61" s="948" t="s">
        <v>1297</v>
      </c>
      <c r="BD61" s="911">
        <f>BD56*BE61</f>
        <v>6453218028.9852953</v>
      </c>
      <c r="BE61" s="912">
        <v>0.06</v>
      </c>
      <c r="BF61" s="875" t="s">
        <v>1303</v>
      </c>
      <c r="BG61" s="126"/>
      <c r="BH61" s="253"/>
      <c r="BI61" s="647">
        <f>BI60/BI47</f>
        <v>13.926548599326894</v>
      </c>
    </row>
    <row r="62" spans="3:91"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76"/>
      <c r="BA62" s="76"/>
      <c r="BB62" s="239"/>
      <c r="BC62" s="948" t="s">
        <v>1300</v>
      </c>
      <c r="BD62" s="911">
        <f>BD56*BE62</f>
        <v>6453218028.9852953</v>
      </c>
      <c r="BE62" s="912">
        <v>0.06</v>
      </c>
      <c r="BF62" s="410" t="s">
        <v>1442</v>
      </c>
      <c r="BG62" s="126"/>
      <c r="BH62" s="253"/>
    </row>
    <row r="63" spans="3:91" ht="16.2" thickBot="1" x14ac:dyDescent="0.35">
      <c r="C63" s="149" t="s">
        <v>737</v>
      </c>
      <c r="D63" s="150">
        <f>E63/E51</f>
        <v>0.16317330103519651</v>
      </c>
      <c r="E63" s="151">
        <f>E21</f>
        <v>2405048376.9253497</v>
      </c>
      <c r="F63" s="152">
        <v>0.3</v>
      </c>
      <c r="G63" s="151">
        <f>E63*F63</f>
        <v>721514513.07760489</v>
      </c>
      <c r="H63" s="465">
        <v>0.9</v>
      </c>
      <c r="I63" s="151">
        <f>G63*H63</f>
        <v>649363061.76984441</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926"/>
      <c r="AZ63" s="410"/>
      <c r="BA63" s="410"/>
      <c r="BB63" s="927"/>
      <c r="BC63" s="948" t="s">
        <v>1305</v>
      </c>
      <c r="BD63" s="911">
        <f>BD56*BE63</f>
        <v>4302145352.6568632</v>
      </c>
      <c r="BE63" s="912">
        <v>0.04</v>
      </c>
      <c r="BF63" s="410" t="s">
        <v>148</v>
      </c>
      <c r="BG63" s="126"/>
      <c r="BH63" s="253"/>
    </row>
    <row r="64" spans="3:91"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W64" s="88"/>
      <c r="AY64" s="106"/>
      <c r="AZ64" s="964"/>
      <c r="BA64" s="106"/>
      <c r="BB64" s="929"/>
      <c r="BC64" s="938"/>
      <c r="BD64" s="1004"/>
      <c r="BE64" s="1005"/>
      <c r="BF64" s="1005"/>
      <c r="BG64" s="903"/>
      <c r="BH64" s="253"/>
    </row>
    <row r="65" spans="3:91" ht="16.2" thickBot="1" x14ac:dyDescent="0.35">
      <c r="C65" s="141"/>
      <c r="D65" s="429"/>
      <c r="E65" s="371"/>
      <c r="F65" s="430">
        <v>0.25</v>
      </c>
      <c r="G65" s="432">
        <f>E63*F65</f>
        <v>601262094.23133743</v>
      </c>
      <c r="H65" s="466">
        <v>0.95</v>
      </c>
      <c r="I65" s="432">
        <f>G65*H65</f>
        <v>571198989.5197705</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W65" s="88"/>
      <c r="AY65" s="106"/>
      <c r="AZ65" s="964"/>
      <c r="BA65" s="106"/>
      <c r="BB65" s="927"/>
      <c r="BC65" s="939" t="s">
        <v>1299</v>
      </c>
      <c r="BD65" s="1006">
        <f>BD53</f>
        <v>21990232555.52</v>
      </c>
      <c r="BE65" s="935">
        <f>BD65/BD56</f>
        <v>0.20445829466863139</v>
      </c>
      <c r="BF65" s="898" t="s">
        <v>1311</v>
      </c>
      <c r="BG65" s="905"/>
      <c r="BH65" s="253"/>
    </row>
    <row r="66" spans="3:91"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W66" s="88"/>
      <c r="AX66" s="88"/>
      <c r="AY66" s="106"/>
      <c r="AZ66" s="964"/>
      <c r="BA66" s="106"/>
      <c r="BB66" s="106"/>
      <c r="BC66" s="940" t="s">
        <v>1325</v>
      </c>
      <c r="BD66" s="930">
        <f>BD56*BE66</f>
        <v>537768169.0821079</v>
      </c>
      <c r="BE66" s="931">
        <v>5.0000000000000001E-3</v>
      </c>
      <c r="BF66" s="898" t="s">
        <v>1315</v>
      </c>
      <c r="BG66" s="905"/>
      <c r="BH66" s="946">
        <v>272</v>
      </c>
      <c r="BI66" s="181" t="s">
        <v>1314</v>
      </c>
    </row>
    <row r="67" spans="3:91" ht="16.2" thickBot="1" x14ac:dyDescent="0.35">
      <c r="C67" s="122"/>
      <c r="D67" s="7"/>
      <c r="E67" s="7"/>
      <c r="F67" s="153">
        <v>0.2</v>
      </c>
      <c r="G67" s="99">
        <f>E63*F67</f>
        <v>481009675.38506997</v>
      </c>
      <c r="H67" s="467">
        <v>0.9</v>
      </c>
      <c r="I67" s="99">
        <f>G67*H67</f>
        <v>432908707.84656298</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W67" s="88"/>
      <c r="AY67" s="106"/>
      <c r="AZ67" s="964"/>
      <c r="BA67" s="106"/>
      <c r="BB67" s="106"/>
      <c r="BC67" s="940" t="s">
        <v>1307</v>
      </c>
      <c r="BD67" s="930">
        <f>BD56*BE67</f>
        <v>3226609014.4926476</v>
      </c>
      <c r="BE67" s="931">
        <v>0.03</v>
      </c>
      <c r="BF67" s="898" t="s">
        <v>1323</v>
      </c>
      <c r="BG67" s="905"/>
      <c r="BH67" s="945">
        <v>100</v>
      </c>
      <c r="BI67" s="938">
        <f>BH66*BH67</f>
        <v>27200</v>
      </c>
      <c r="BJ67" s="1" t="s">
        <v>1316</v>
      </c>
    </row>
    <row r="68" spans="3:91"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W68" s="88"/>
      <c r="AX68" s="88"/>
      <c r="AY68" s="106"/>
      <c r="AZ68" s="964"/>
      <c r="BA68" s="106"/>
      <c r="BB68" s="251"/>
      <c r="BC68" s="940" t="s">
        <v>1308</v>
      </c>
      <c r="BD68" s="930">
        <f>BD56*BE68</f>
        <v>3226609014.4926476</v>
      </c>
      <c r="BE68" s="931">
        <v>0.03</v>
      </c>
      <c r="BF68" s="898" t="s">
        <v>1438</v>
      </c>
      <c r="BG68" s="905"/>
      <c r="BH68" s="600"/>
      <c r="BI68" s="1">
        <v>1000</v>
      </c>
      <c r="BJ68" s="1" t="s">
        <v>226</v>
      </c>
    </row>
    <row r="69" spans="3:91" ht="16.2" thickBot="1" x14ac:dyDescent="0.35">
      <c r="C69" s="122"/>
      <c r="D69" s="7"/>
      <c r="E69" s="7"/>
      <c r="F69" s="438">
        <v>0.2</v>
      </c>
      <c r="G69" s="446">
        <f>E63*F69</f>
        <v>481009675.38506997</v>
      </c>
      <c r="H69" s="447">
        <v>0.25</v>
      </c>
      <c r="I69" s="446">
        <f>G69*H69</f>
        <v>120252418.84626749</v>
      </c>
      <c r="J69" s="447">
        <v>0</v>
      </c>
      <c r="K69" s="439">
        <f>I69*J69</f>
        <v>0</v>
      </c>
      <c r="Q69" s="240" t="s">
        <v>952</v>
      </c>
      <c r="S69" s="88"/>
      <c r="W69" s="691">
        <f>BG47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88"/>
      <c r="AW69" s="88"/>
      <c r="AX69" s="88"/>
      <c r="AY69" s="88"/>
      <c r="AZ69" s="958"/>
      <c r="BA69" s="88"/>
      <c r="BB69" s="88"/>
      <c r="BC69" s="940" t="s">
        <v>1317</v>
      </c>
      <c r="BD69" s="930">
        <f>BD56*BE69</f>
        <v>3226609014.4926476</v>
      </c>
      <c r="BE69" s="931">
        <v>0.03</v>
      </c>
      <c r="BF69" s="898" t="s">
        <v>1356</v>
      </c>
      <c r="BG69" s="905"/>
      <c r="BH69" s="601"/>
      <c r="BI69" s="1">
        <f>BI67*BI68</f>
        <v>27200000</v>
      </c>
      <c r="BJ69" s="1" t="s">
        <v>1320</v>
      </c>
    </row>
    <row r="70" spans="3:91"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88"/>
      <c r="AW70" s="88"/>
      <c r="AX70" s="88"/>
      <c r="AY70" s="88"/>
      <c r="AZ70" s="958"/>
      <c r="BA70" s="88"/>
      <c r="BB70" s="88"/>
      <c r="BC70" s="940" t="s">
        <v>1318</v>
      </c>
      <c r="BD70" s="930">
        <f>BD56*BE70</f>
        <v>3226609014.4926476</v>
      </c>
      <c r="BE70" s="931">
        <v>0.03</v>
      </c>
      <c r="BF70" s="898" t="s">
        <v>1357</v>
      </c>
      <c r="BG70" s="905"/>
      <c r="BH70" s="600"/>
      <c r="BI70" s="1">
        <f>BI69*2</f>
        <v>54400000</v>
      </c>
      <c r="BJ70" s="1" t="s">
        <v>1346</v>
      </c>
      <c r="BW70" s="1"/>
      <c r="CA70" s="1"/>
      <c r="CL70" s="1"/>
      <c r="CM70" s="1"/>
    </row>
    <row r="71" spans="3:91" x14ac:dyDescent="0.3">
      <c r="C71" s="122"/>
      <c r="D71" s="7"/>
      <c r="E71" s="7"/>
      <c r="F71" s="7"/>
      <c r="G71" s="7"/>
      <c r="H71" s="7"/>
      <c r="I71" s="8"/>
      <c r="J71" s="122"/>
      <c r="K71" s="8"/>
      <c r="L71" s="240" t="s">
        <v>1387</v>
      </c>
      <c r="M71" s="239" t="s">
        <v>1327</v>
      </c>
      <c r="O71" s="240" t="s">
        <v>902</v>
      </c>
      <c r="Q71" s="240" t="s">
        <v>902</v>
      </c>
      <c r="S71" s="955">
        <f>BE53</f>
        <v>1024</v>
      </c>
      <c r="U71" s="77" t="s">
        <v>804</v>
      </c>
      <c r="V71" s="947"/>
      <c r="W71" s="319">
        <v>0.3</v>
      </c>
      <c r="Y71" s="76" t="s">
        <v>893</v>
      </c>
      <c r="Z71" s="76"/>
      <c r="AA71" s="77" t="s">
        <v>1332</v>
      </c>
      <c r="AB71" s="88"/>
      <c r="AE71" s="958"/>
      <c r="AF71" s="644" t="s">
        <v>986</v>
      </c>
      <c r="AG71" s="958"/>
      <c r="AX71" s="88"/>
      <c r="AY71" s="88"/>
      <c r="AZ71" s="958"/>
      <c r="BA71" s="88"/>
      <c r="BB71" s="88"/>
      <c r="BC71" s="940" t="s">
        <v>1319</v>
      </c>
      <c r="BD71" s="930">
        <f>BD56*BE71</f>
        <v>3226609014.4926476</v>
      </c>
      <c r="BE71" s="931">
        <v>0.03</v>
      </c>
      <c r="BF71" s="898" t="s">
        <v>1358</v>
      </c>
      <c r="BG71" s="905"/>
      <c r="BH71" s="936"/>
    </row>
    <row r="72" spans="3:91" x14ac:dyDescent="0.3">
      <c r="C72" s="158"/>
      <c r="D72" s="10"/>
      <c r="E72" s="10"/>
      <c r="F72" s="10"/>
      <c r="G72" s="159">
        <f>SUM(G53:G71)</f>
        <v>14618974903.68354</v>
      </c>
      <c r="H72" s="160"/>
      <c r="I72" s="172">
        <f>SUM(I53:I71)</f>
        <v>12813047409.035603</v>
      </c>
      <c r="J72" s="158"/>
      <c r="K72" s="481">
        <f>SUM(K53:K71)</f>
        <v>0</v>
      </c>
      <c r="L72" s="482">
        <f>BD34</f>
        <v>8.7890541028515035</v>
      </c>
      <c r="M72" s="480">
        <f>K72*L72</f>
        <v>0</v>
      </c>
      <c r="N72" s="239"/>
      <c r="O72" s="950">
        <f>BE53</f>
        <v>1024</v>
      </c>
      <c r="P72" s="239"/>
      <c r="Q72" s="480">
        <f>M72*O72</f>
        <v>0</v>
      </c>
      <c r="R72" s="239"/>
      <c r="S72" s="956">
        <f>M72*S71</f>
        <v>0</v>
      </c>
      <c r="T72" s="239"/>
      <c r="U72" s="910">
        <f>Q72+S72</f>
        <v>0</v>
      </c>
      <c r="V72" s="949" t="s">
        <v>1330</v>
      </c>
      <c r="W72" s="910">
        <f>W69*W71</f>
        <v>1989164570.4746923</v>
      </c>
      <c r="X72" s="949" t="s">
        <v>1330</v>
      </c>
      <c r="Y72" s="910">
        <f>BD59+BD60+BD61+BD62+BD63</f>
        <v>26888408454.105396</v>
      </c>
      <c r="Z72" s="949" t="s">
        <v>1331</v>
      </c>
      <c r="AA72" s="910">
        <f>U72+W72+Y72</f>
        <v>28877573024.58009</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181"/>
      <c r="AZ72" s="958"/>
      <c r="BA72" s="88"/>
      <c r="BB72" s="88"/>
      <c r="BC72" s="940" t="s">
        <v>1312</v>
      </c>
      <c r="BD72" s="930">
        <f>BD56*BE72</f>
        <v>3226609014.4926476</v>
      </c>
      <c r="BE72" s="931">
        <v>0.03</v>
      </c>
      <c r="BF72" s="898" t="s">
        <v>1359</v>
      </c>
      <c r="BG72" s="905"/>
      <c r="BH72" s="812"/>
    </row>
    <row r="73" spans="3:91"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Y73" s="88"/>
      <c r="AZ73" s="88"/>
      <c r="BA73" s="88"/>
      <c r="BB73" s="88"/>
      <c r="BC73" s="940" t="s">
        <v>1313</v>
      </c>
      <c r="BD73" s="930">
        <f>BD56*BE73</f>
        <v>2151072676.3284316</v>
      </c>
      <c r="BE73" s="931">
        <v>0.02</v>
      </c>
      <c r="BF73" s="898" t="s">
        <v>1361</v>
      </c>
      <c r="BG73" s="905"/>
      <c r="BH73" s="255"/>
    </row>
    <row r="74" spans="3:91"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AY74" s="88"/>
      <c r="AZ74" s="252"/>
      <c r="BA74" s="252"/>
      <c r="BB74" s="252"/>
      <c r="BC74" s="940" t="s">
        <v>1324</v>
      </c>
      <c r="BD74" s="930">
        <f>BD56*BE74</f>
        <v>10755363381.642159</v>
      </c>
      <c r="BE74" s="931">
        <v>0.1</v>
      </c>
      <c r="BF74" s="898" t="s">
        <v>1439</v>
      </c>
      <c r="BG74" s="905"/>
      <c r="BH74" s="255"/>
    </row>
    <row r="75" spans="3:91"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AY75" s="88"/>
      <c r="AZ75" s="252"/>
      <c r="BA75" s="88"/>
      <c r="BB75" s="88"/>
      <c r="BC75" s="940" t="s">
        <v>1306</v>
      </c>
      <c r="BD75" s="930">
        <f>BD56*BE75</f>
        <v>2151072676.3284316</v>
      </c>
      <c r="BE75" s="931">
        <v>0.02</v>
      </c>
      <c r="BF75" s="899" t="s">
        <v>1360</v>
      </c>
      <c r="BG75" s="932"/>
      <c r="BH75" s="255"/>
    </row>
    <row r="76" spans="3:91" x14ac:dyDescent="0.3">
      <c r="R76" s="88"/>
      <c r="S76" s="252"/>
      <c r="T76" s="88"/>
      <c r="U76" s="88"/>
      <c r="V76" s="88"/>
      <c r="W76" s="88"/>
      <c r="X76" s="88"/>
      <c r="Y76" s="88"/>
      <c r="Z76" s="361" t="s">
        <v>1347</v>
      </c>
      <c r="AA76" s="736">
        <f>AA72</f>
        <v>28877573024.58009</v>
      </c>
      <c r="AB76" s="88"/>
      <c r="AD76" s="960">
        <f t="shared" si="30"/>
        <v>2018</v>
      </c>
      <c r="AE76" s="691">
        <f t="shared" si="31"/>
        <v>5717501250</v>
      </c>
      <c r="AF76" s="963">
        <f t="shared" si="28"/>
        <v>2.5000000000000001E-2</v>
      </c>
      <c r="AG76" s="691">
        <f t="shared" si="29"/>
        <v>142937531.25</v>
      </c>
      <c r="AY76" s="88"/>
      <c r="AZ76" s="252"/>
      <c r="BA76" s="88"/>
      <c r="BB76" s="88"/>
      <c r="BC76" s="941" t="s">
        <v>1309</v>
      </c>
      <c r="BD76" s="930">
        <f>BD56*BE76</f>
        <v>2151072676.3284316</v>
      </c>
      <c r="BE76" s="931">
        <v>0.02</v>
      </c>
      <c r="BF76" s="899" t="s">
        <v>1440</v>
      </c>
      <c r="BG76" s="932"/>
      <c r="BH76" s="255"/>
    </row>
    <row r="77" spans="3:91"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Y77" s="88"/>
      <c r="AZ77" s="88"/>
      <c r="BA77" s="88"/>
      <c r="BB77" s="88"/>
      <c r="BC77" s="940" t="s">
        <v>1310</v>
      </c>
      <c r="BD77" s="904">
        <f>BD56*BE77</f>
        <v>5377681690.8210793</v>
      </c>
      <c r="BE77" s="1065">
        <v>0.05</v>
      </c>
      <c r="BF77" s="898" t="s">
        <v>1362</v>
      </c>
      <c r="BG77" s="905"/>
      <c r="BH77" s="255"/>
    </row>
    <row r="78" spans="3:91" x14ac:dyDescent="0.3">
      <c r="R78" s="88"/>
      <c r="S78" s="252"/>
      <c r="T78" s="88"/>
      <c r="U78" s="88"/>
      <c r="V78" s="88"/>
      <c r="W78" s="88"/>
      <c r="X78" s="88"/>
      <c r="Y78" s="88"/>
      <c r="Z78" s="555" t="s">
        <v>1333</v>
      </c>
      <c r="AA78" s="957">
        <f>AA72/W72</f>
        <v>14.51743784964397</v>
      </c>
      <c r="AB78" s="252"/>
      <c r="AD78" s="960">
        <f t="shared" ref="AD78:AD106" si="32">AD77+1</f>
        <v>2020</v>
      </c>
      <c r="AE78" s="691">
        <f t="shared" si="31"/>
        <v>6006949750.78125</v>
      </c>
      <c r="AF78" s="963">
        <f t="shared" si="28"/>
        <v>2.5000000000000001E-2</v>
      </c>
      <c r="AG78" s="691">
        <f t="shared" si="29"/>
        <v>150173743.76953125</v>
      </c>
      <c r="AY78" s="88"/>
      <c r="AZ78" s="88"/>
      <c r="BA78" s="88"/>
      <c r="BB78" s="88"/>
      <c r="BC78" s="940" t="s">
        <v>1452</v>
      </c>
      <c r="BD78" s="904">
        <f>BD56*BE78</f>
        <v>5377681690.8210793</v>
      </c>
      <c r="BE78" s="1065">
        <v>0.05</v>
      </c>
      <c r="BF78" s="898" t="s">
        <v>1450</v>
      </c>
      <c r="BG78" s="905"/>
      <c r="BH78" s="255"/>
    </row>
    <row r="79" spans="3:91"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AY79" s="88"/>
      <c r="AZ79" s="88"/>
      <c r="BA79" s="88"/>
      <c r="BB79" s="88"/>
      <c r="BC79" s="940" t="s">
        <v>1454</v>
      </c>
      <c r="BD79" s="904">
        <f>BD56*BE79</f>
        <v>5377681690.8210793</v>
      </c>
      <c r="BE79" s="1065">
        <v>0.05</v>
      </c>
      <c r="BF79" s="898" t="s">
        <v>1455</v>
      </c>
      <c r="BG79" s="905"/>
      <c r="BH79" s="255"/>
    </row>
    <row r="80" spans="3:91"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AY80" s="88"/>
      <c r="AZ80" s="88"/>
      <c r="BA80" s="88"/>
      <c r="BB80" s="88"/>
      <c r="BC80" s="940" t="s">
        <v>1326</v>
      </c>
      <c r="BD80" s="904">
        <f>BD56*BE80</f>
        <v>3226609014.4926476</v>
      </c>
      <c r="BE80" s="1065">
        <v>0.03</v>
      </c>
      <c r="BF80" s="898" t="s">
        <v>1348</v>
      </c>
      <c r="BG80" s="905"/>
      <c r="BH80" s="251"/>
    </row>
    <row r="81" spans="18:61"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AY81" s="88"/>
      <c r="AZ81" s="88"/>
      <c r="BA81" s="88"/>
      <c r="BB81" s="88"/>
      <c r="BC81" s="940" t="s">
        <v>1298</v>
      </c>
      <c r="BD81" s="930">
        <f>BD56*BE81</f>
        <v>4302145352.6568632</v>
      </c>
      <c r="BE81" s="931">
        <v>0.04</v>
      </c>
      <c r="BF81" s="898" t="s">
        <v>1363</v>
      </c>
      <c r="BG81" s="905"/>
      <c r="BH81" s="251"/>
    </row>
    <row r="82" spans="18:61"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AY82" s="88"/>
      <c r="AZ82" s="88"/>
      <c r="BA82" s="88"/>
      <c r="BB82" s="88"/>
      <c r="BC82" s="942"/>
      <c r="BD82" s="1067"/>
      <c r="BE82" s="1068">
        <f>SUM(BE58:BE81)</f>
        <v>1.0294582946686317</v>
      </c>
      <c r="BF82" s="1069"/>
      <c r="BG82" s="1070"/>
      <c r="BH82" s="251"/>
    </row>
    <row r="83" spans="18:61"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AY83" s="88"/>
      <c r="AZ83" s="88"/>
      <c r="BA83" s="88"/>
      <c r="BB83" s="88"/>
      <c r="BC83" s="941" t="s">
        <v>1321</v>
      </c>
      <c r="BD83" s="904">
        <f>BD56*BE83</f>
        <v>-3168346637.6462584</v>
      </c>
      <c r="BE83" s="1065">
        <f>100%-BE82</f>
        <v>-2.9458294668631702E-2</v>
      </c>
      <c r="BF83" s="898" t="s">
        <v>148</v>
      </c>
      <c r="BG83" s="905"/>
      <c r="BH83" s="251"/>
    </row>
    <row r="84" spans="18:61"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AY84" s="88"/>
      <c r="AZ84" s="88"/>
      <c r="BA84" s="88"/>
      <c r="BB84" s="88"/>
      <c r="BC84" s="943" t="s">
        <v>1322</v>
      </c>
      <c r="BD84" s="1071">
        <f>SUM(BD58:BD83)</f>
        <v>107553633816.42152</v>
      </c>
      <c r="BE84" s="1072">
        <f>BE82+BE83</f>
        <v>1</v>
      </c>
      <c r="BF84" s="1073" t="s">
        <v>59</v>
      </c>
      <c r="BG84" s="1074"/>
      <c r="BH84" s="251"/>
    </row>
    <row r="85" spans="18:61" x14ac:dyDescent="0.3">
      <c r="R85" s="88"/>
      <c r="S85" s="88"/>
      <c r="T85" s="88"/>
      <c r="U85" s="88"/>
      <c r="V85" s="88"/>
      <c r="AD85" s="960">
        <f t="shared" si="32"/>
        <v>2027</v>
      </c>
      <c r="AE85" s="691">
        <f t="shared" si="31"/>
        <v>7140375591.7544937</v>
      </c>
      <c r="AF85" s="963">
        <f t="shared" si="28"/>
        <v>2.5000000000000001E-2</v>
      </c>
      <c r="AG85" s="691">
        <f t="shared" si="29"/>
        <v>178509389.79386234</v>
      </c>
      <c r="AY85" s="88"/>
      <c r="AZ85" s="88"/>
      <c r="BA85" s="88"/>
      <c r="BB85" s="88"/>
      <c r="BC85" s="943" t="s">
        <v>1329</v>
      </c>
      <c r="BD85" s="179">
        <f>BD59+BD60+BD61+BD62+BD63</f>
        <v>26888408454.105396</v>
      </c>
      <c r="BE85" s="160"/>
      <c r="BF85" s="160" t="s">
        <v>1364</v>
      </c>
      <c r="BG85" s="303"/>
      <c r="BH85" s="251"/>
    </row>
    <row r="86" spans="18:61" x14ac:dyDescent="0.3">
      <c r="AD86" s="960">
        <f t="shared" si="32"/>
        <v>2028</v>
      </c>
      <c r="AE86" s="691">
        <f t="shared" si="31"/>
        <v>7318884981.5483561</v>
      </c>
      <c r="AF86" s="963">
        <f t="shared" si="28"/>
        <v>2.5000000000000001E-2</v>
      </c>
      <c r="AG86" s="691">
        <f t="shared" si="29"/>
        <v>182972124.53870893</v>
      </c>
      <c r="AY86" s="88"/>
      <c r="AZ86" s="88"/>
      <c r="BA86" s="88"/>
      <c r="BB86" s="88"/>
      <c r="BC86" s="364"/>
      <c r="BD86" s="1075"/>
      <c r="BE86" s="1076"/>
      <c r="BF86" s="1076"/>
      <c r="BG86" s="1077"/>
      <c r="BH86" s="251"/>
    </row>
    <row r="87" spans="18:61" x14ac:dyDescent="0.3">
      <c r="AD87" s="960">
        <f t="shared" si="32"/>
        <v>2029</v>
      </c>
      <c r="AE87" s="691">
        <f t="shared" si="31"/>
        <v>7501857106.0870647</v>
      </c>
      <c r="AF87" s="963">
        <f t="shared" si="28"/>
        <v>2.5000000000000001E-2</v>
      </c>
      <c r="AG87" s="691">
        <f t="shared" si="29"/>
        <v>187546427.65217662</v>
      </c>
      <c r="AY87" s="88"/>
      <c r="AZ87" s="88"/>
      <c r="BA87" s="88"/>
      <c r="BB87" s="88"/>
      <c r="BC87" s="1007" t="s">
        <v>1336</v>
      </c>
      <c r="BD87" s="1066">
        <f>AA72</f>
        <v>28877573024.58009</v>
      </c>
      <c r="BE87" s="251" t="s">
        <v>1335</v>
      </c>
      <c r="BF87" s="251"/>
      <c r="BG87" s="251"/>
      <c r="BH87" s="251"/>
    </row>
    <row r="88" spans="18:61" x14ac:dyDescent="0.3">
      <c r="AD88" s="960">
        <f t="shared" si="32"/>
        <v>2030</v>
      </c>
      <c r="AE88" s="691">
        <f t="shared" si="31"/>
        <v>7689403533.7392416</v>
      </c>
      <c r="AF88" s="963">
        <f t="shared" si="28"/>
        <v>2.5000000000000001E-2</v>
      </c>
      <c r="AG88" s="691">
        <f t="shared" si="29"/>
        <v>192235088.34348106</v>
      </c>
      <c r="AY88" s="88"/>
      <c r="AZ88" s="88"/>
      <c r="BA88" s="88"/>
      <c r="BB88" s="88"/>
      <c r="BC88" s="1008" t="s">
        <v>1337</v>
      </c>
      <c r="BD88" s="1009">
        <f>W72</f>
        <v>1989164570.4746923</v>
      </c>
      <c r="BE88" s="898" t="s">
        <v>1338</v>
      </c>
      <c r="BF88" s="898"/>
      <c r="BG88" s="251"/>
      <c r="BH88" s="251"/>
    </row>
    <row r="89" spans="18:61" x14ac:dyDescent="0.3">
      <c r="AD89" s="960">
        <f t="shared" si="32"/>
        <v>2031</v>
      </c>
      <c r="AE89" s="691">
        <f t="shared" si="31"/>
        <v>7881638622.0827227</v>
      </c>
      <c r="AF89" s="963">
        <f t="shared" si="28"/>
        <v>2.5000000000000001E-2</v>
      </c>
      <c r="AG89" s="691">
        <f t="shared" si="29"/>
        <v>197040965.55206808</v>
      </c>
      <c r="AY89" s="88"/>
      <c r="AZ89" s="88"/>
      <c r="BA89" s="88"/>
      <c r="BB89" s="88"/>
      <c r="BC89" s="106"/>
      <c r="BD89" s="745"/>
      <c r="BE89" s="251"/>
      <c r="BF89" s="251"/>
      <c r="BG89" s="251"/>
      <c r="BH89" s="251"/>
      <c r="BI89" s="252"/>
    </row>
    <row r="90" spans="18:61" x14ac:dyDescent="0.3">
      <c r="AD90" s="960">
        <f t="shared" si="32"/>
        <v>2032</v>
      </c>
      <c r="AE90" s="691">
        <f t="shared" si="31"/>
        <v>8078679587.6347904</v>
      </c>
      <c r="AF90" s="963">
        <f t="shared" si="28"/>
        <v>2.5000000000000001E-2</v>
      </c>
      <c r="AG90" s="691">
        <f t="shared" si="29"/>
        <v>201966989.69086978</v>
      </c>
      <c r="AY90" s="88"/>
      <c r="AZ90" s="88"/>
      <c r="BA90" s="88"/>
      <c r="BB90" s="88"/>
      <c r="BD90" s="999" t="s">
        <v>1355</v>
      </c>
      <c r="BE90" s="252"/>
      <c r="BF90" s="252"/>
      <c r="BG90" s="252"/>
      <c r="BH90" s="252"/>
      <c r="BI90" s="252"/>
    </row>
    <row r="91" spans="18:61" x14ac:dyDescent="0.3">
      <c r="AD91" s="960">
        <f t="shared" si="32"/>
        <v>2033</v>
      </c>
      <c r="AE91" s="691">
        <f t="shared" si="31"/>
        <v>8280646577.3256598</v>
      </c>
      <c r="AF91" s="963">
        <f t="shared" si="28"/>
        <v>2.5000000000000001E-2</v>
      </c>
      <c r="AG91" s="691">
        <f t="shared" si="29"/>
        <v>207016164.4331415</v>
      </c>
      <c r="AY91" s="88"/>
      <c r="AZ91" s="88"/>
      <c r="BA91" s="88"/>
      <c r="BB91" s="88"/>
      <c r="BE91" s="252"/>
      <c r="BF91" s="252"/>
      <c r="BG91" s="252"/>
      <c r="BH91" s="252"/>
      <c r="BI91" s="252"/>
    </row>
    <row r="92" spans="18:61" x14ac:dyDescent="0.3">
      <c r="AD92" s="960">
        <f t="shared" si="32"/>
        <v>2034</v>
      </c>
      <c r="AE92" s="691">
        <f t="shared" si="31"/>
        <v>8487662741.7588015</v>
      </c>
      <c r="AF92" s="963">
        <f t="shared" si="28"/>
        <v>2.5000000000000001E-2</v>
      </c>
      <c r="AG92" s="691">
        <f t="shared" si="29"/>
        <v>212191568.54397005</v>
      </c>
      <c r="AY92" s="88"/>
      <c r="AZ92" s="88"/>
      <c r="BA92" s="88"/>
      <c r="BB92" s="252"/>
      <c r="BE92" s="252"/>
      <c r="BF92" s="252"/>
      <c r="BG92" s="252"/>
      <c r="BH92" s="252"/>
      <c r="BI92" s="252"/>
    </row>
    <row r="93" spans="18:61" x14ac:dyDescent="0.3">
      <c r="AD93" s="960">
        <f t="shared" si="32"/>
        <v>2035</v>
      </c>
      <c r="AE93" s="691">
        <f t="shared" si="31"/>
        <v>8699854310.3027706</v>
      </c>
      <c r="AF93" s="963">
        <f t="shared" si="28"/>
        <v>2.5000000000000001E-2</v>
      </c>
      <c r="AG93" s="691">
        <f t="shared" si="29"/>
        <v>217496357.75756928</v>
      </c>
      <c r="BE93" s="252"/>
      <c r="BF93" s="252"/>
      <c r="BG93" s="252"/>
      <c r="BH93" s="252"/>
      <c r="BI93" s="252"/>
    </row>
    <row r="94" spans="18:61" x14ac:dyDescent="0.3">
      <c r="AD94" s="960">
        <f t="shared" si="32"/>
        <v>2036</v>
      </c>
      <c r="AE94" s="691">
        <f t="shared" si="31"/>
        <v>8917350668.060339</v>
      </c>
      <c r="AF94" s="963">
        <f t="shared" si="28"/>
        <v>2.5000000000000001E-2</v>
      </c>
      <c r="AG94" s="691">
        <f t="shared" si="29"/>
        <v>222933766.70150849</v>
      </c>
      <c r="BE94" s="252"/>
      <c r="BF94" s="252"/>
      <c r="BG94" s="252"/>
      <c r="BH94" s="252"/>
      <c r="BI94" s="252"/>
    </row>
    <row r="95" spans="18:61" x14ac:dyDescent="0.3">
      <c r="AD95" s="960">
        <f t="shared" si="32"/>
        <v>2037</v>
      </c>
      <c r="AE95" s="691">
        <f t="shared" si="31"/>
        <v>9140284434.7618465</v>
      </c>
      <c r="AF95" s="963">
        <f t="shared" si="28"/>
        <v>2.5000000000000001E-2</v>
      </c>
      <c r="AG95" s="691">
        <f t="shared" si="29"/>
        <v>228507110.86904618</v>
      </c>
      <c r="BE95" s="252"/>
      <c r="BF95" s="252"/>
      <c r="BG95" s="252"/>
      <c r="BH95" s="252"/>
      <c r="BI95" s="252"/>
    </row>
    <row r="96" spans="18:61" x14ac:dyDescent="0.3">
      <c r="AD96" s="960">
        <f t="shared" si="32"/>
        <v>2038</v>
      </c>
      <c r="AE96" s="691">
        <f t="shared" si="31"/>
        <v>9368791545.6308918</v>
      </c>
      <c r="AF96" s="963">
        <f t="shared" si="28"/>
        <v>2.5000000000000001E-2</v>
      </c>
      <c r="AG96" s="691">
        <f t="shared" si="29"/>
        <v>234219788.64077231</v>
      </c>
      <c r="BE96" s="252"/>
      <c r="BF96" s="252"/>
      <c r="BG96" s="252"/>
      <c r="BH96" s="252"/>
      <c r="BI96" s="252"/>
    </row>
    <row r="97" spans="30:61" x14ac:dyDescent="0.3">
      <c r="AD97" s="960">
        <f t="shared" si="32"/>
        <v>2039</v>
      </c>
      <c r="AE97" s="691">
        <f t="shared" si="31"/>
        <v>9603011334.2716637</v>
      </c>
      <c r="AF97" s="963">
        <f t="shared" si="28"/>
        <v>2.5000000000000001E-2</v>
      </c>
      <c r="AG97" s="691">
        <f t="shared" si="29"/>
        <v>240075283.35679162</v>
      </c>
      <c r="BE97" s="252"/>
      <c r="BF97" s="252"/>
      <c r="BG97" s="252"/>
      <c r="BH97" s="252"/>
      <c r="BI97" s="252"/>
    </row>
    <row r="98" spans="30:61" x14ac:dyDescent="0.3">
      <c r="AD98" s="960">
        <f t="shared" si="32"/>
        <v>2040</v>
      </c>
      <c r="AE98" s="691">
        <f t="shared" si="31"/>
        <v>9843086617.6284561</v>
      </c>
      <c r="AF98" s="963">
        <f t="shared" si="28"/>
        <v>2.5000000000000001E-2</v>
      </c>
      <c r="AG98" s="691">
        <f t="shared" si="29"/>
        <v>246077165.44071141</v>
      </c>
    </row>
    <row r="99" spans="30:61" x14ac:dyDescent="0.3">
      <c r="AD99" s="960">
        <f t="shared" si="32"/>
        <v>2041</v>
      </c>
      <c r="AE99" s="691">
        <f t="shared" si="31"/>
        <v>10089163783.069168</v>
      </c>
      <c r="AF99" s="963">
        <f t="shared" si="28"/>
        <v>2.5000000000000001E-2</v>
      </c>
      <c r="AG99" s="691">
        <f t="shared" si="29"/>
        <v>252229094.57672921</v>
      </c>
    </row>
    <row r="100" spans="30:61" x14ac:dyDescent="0.3">
      <c r="AD100" s="960">
        <f t="shared" si="32"/>
        <v>2042</v>
      </c>
      <c r="AE100" s="691">
        <f t="shared" si="31"/>
        <v>10341392877.645897</v>
      </c>
      <c r="AF100" s="963">
        <f t="shared" si="28"/>
        <v>2.5000000000000001E-2</v>
      </c>
      <c r="AG100" s="691">
        <f t="shared" si="29"/>
        <v>258534821.94114745</v>
      </c>
    </row>
    <row r="101" spans="30:61" x14ac:dyDescent="0.3">
      <c r="AD101" s="960">
        <f t="shared" si="32"/>
        <v>2043</v>
      </c>
      <c r="AE101" s="691">
        <f t="shared" si="31"/>
        <v>10599927699.587044</v>
      </c>
      <c r="AF101" s="963">
        <f t="shared" si="28"/>
        <v>2.5000000000000001E-2</v>
      </c>
      <c r="AG101" s="691">
        <f t="shared" si="29"/>
        <v>264998192.48967612</v>
      </c>
    </row>
    <row r="102" spans="30:61" x14ac:dyDescent="0.3">
      <c r="AD102" s="960">
        <f t="shared" si="32"/>
        <v>2044</v>
      </c>
      <c r="AE102" s="691">
        <f t="shared" si="31"/>
        <v>10864925892.076719</v>
      </c>
      <c r="AF102" s="963">
        <f t="shared" si="28"/>
        <v>2.5000000000000001E-2</v>
      </c>
      <c r="AG102" s="691">
        <f t="shared" si="29"/>
        <v>271623147.30191797</v>
      </c>
    </row>
    <row r="103" spans="30:61" x14ac:dyDescent="0.3">
      <c r="AD103" s="960">
        <f t="shared" si="32"/>
        <v>2045</v>
      </c>
      <c r="AE103" s="691">
        <f t="shared" si="31"/>
        <v>11136549039.378637</v>
      </c>
      <c r="AF103" s="963">
        <f t="shared" si="28"/>
        <v>2.5000000000000001E-2</v>
      </c>
      <c r="AG103" s="691">
        <f t="shared" si="29"/>
        <v>278413725.98446596</v>
      </c>
    </row>
    <row r="104" spans="30:61" x14ac:dyDescent="0.3">
      <c r="AD104" s="960">
        <f t="shared" si="32"/>
        <v>2046</v>
      </c>
      <c r="AE104" s="691">
        <f t="shared" si="31"/>
        <v>11414962765.363104</v>
      </c>
      <c r="AF104" s="963">
        <f t="shared" si="28"/>
        <v>2.5000000000000001E-2</v>
      </c>
      <c r="AG104" s="691">
        <f t="shared" si="29"/>
        <v>285374069.13407761</v>
      </c>
    </row>
    <row r="105" spans="30:61" x14ac:dyDescent="0.3">
      <c r="AD105" s="960">
        <f t="shared" si="32"/>
        <v>2047</v>
      </c>
      <c r="AE105" s="691">
        <f t="shared" si="31"/>
        <v>11700336834.497181</v>
      </c>
      <c r="AF105" s="963">
        <f t="shared" si="28"/>
        <v>2.5000000000000001E-2</v>
      </c>
      <c r="AG105" s="691">
        <f t="shared" si="29"/>
        <v>292508420.86242956</v>
      </c>
    </row>
    <row r="106" spans="30:61"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5954-9E93-404F-B793-F7DEEC819790}">
  <dimension ref="B2:X31"/>
  <sheetViews>
    <sheetView workbookViewId="0">
      <selection activeCell="N25" sqref="N25"/>
    </sheetView>
  </sheetViews>
  <sheetFormatPr defaultRowHeight="15.6" x14ac:dyDescent="0.3"/>
  <cols>
    <col min="1" max="3" width="8.88671875" style="1"/>
    <col min="4" max="4" width="29.77734375" style="1" customWidth="1"/>
    <col min="5" max="5" width="8.21875" style="1" bestFit="1" customWidth="1"/>
    <col min="6" max="7" width="3.77734375" style="12" customWidth="1"/>
    <col min="8" max="8" width="4.77734375" style="12" customWidth="1"/>
    <col min="9" max="9" width="26.44140625" style="1" bestFit="1" customWidth="1"/>
    <col min="10" max="10" width="8.21875" style="1" bestFit="1" customWidth="1"/>
    <col min="11" max="12" width="3.77734375" style="12" customWidth="1"/>
    <col min="13" max="13" width="4.77734375" style="12" customWidth="1"/>
    <col min="14" max="14" width="26.44140625" style="1" bestFit="1" customWidth="1"/>
    <col min="15" max="15" width="8.88671875" style="1"/>
    <col min="16" max="16" width="10.77734375" style="1" bestFit="1" customWidth="1"/>
    <col min="17" max="16384" width="8.88671875" style="1"/>
  </cols>
  <sheetData>
    <row r="2" spans="2:24" x14ac:dyDescent="0.3">
      <c r="B2" s="1" t="s">
        <v>1701</v>
      </c>
    </row>
    <row r="3" spans="2:24" x14ac:dyDescent="0.3">
      <c r="D3" s="1" t="s">
        <v>1709</v>
      </c>
    </row>
    <row r="4" spans="2:24" x14ac:dyDescent="0.3">
      <c r="D4" s="938">
        <v>1</v>
      </c>
      <c r="E4" s="938"/>
      <c r="F4" s="947"/>
      <c r="G4" s="947"/>
      <c r="H4" s="947"/>
      <c r="I4" s="938">
        <v>2</v>
      </c>
      <c r="J4" s="938">
        <v>3</v>
      </c>
      <c r="K4" s="947"/>
      <c r="L4" s="947"/>
      <c r="M4" s="947"/>
      <c r="N4" s="938">
        <v>3</v>
      </c>
      <c r="O4" s="938"/>
      <c r="P4" s="938">
        <v>4</v>
      </c>
      <c r="Q4" s="938">
        <v>5</v>
      </c>
      <c r="R4" s="938">
        <v>6</v>
      </c>
      <c r="S4" s="938">
        <v>7</v>
      </c>
      <c r="T4" s="938">
        <v>8</v>
      </c>
    </row>
    <row r="5" spans="2:24" x14ac:dyDescent="0.3">
      <c r="D5" s="1" t="s">
        <v>1679</v>
      </c>
      <c r="I5" s="1" t="s">
        <v>1702</v>
      </c>
      <c r="N5" s="1" t="s">
        <v>1703</v>
      </c>
      <c r="P5" s="1" t="s">
        <v>1704</v>
      </c>
      <c r="Q5" s="1" t="s">
        <v>1705</v>
      </c>
      <c r="R5" s="1" t="s">
        <v>1706</v>
      </c>
      <c r="S5" s="1" t="s">
        <v>1707</v>
      </c>
      <c r="T5" s="1" t="s">
        <v>1708</v>
      </c>
      <c r="U5" s="1" t="s">
        <v>1680</v>
      </c>
      <c r="V5" s="1" t="s">
        <v>1681</v>
      </c>
      <c r="W5" s="1" t="s">
        <v>1682</v>
      </c>
      <c r="X5" s="1" t="s">
        <v>1683</v>
      </c>
    </row>
    <row r="7" spans="2:24" x14ac:dyDescent="0.3">
      <c r="D7" s="1" t="s">
        <v>1684</v>
      </c>
      <c r="I7" s="1" t="s">
        <v>1685</v>
      </c>
      <c r="N7" s="1" t="s">
        <v>1685</v>
      </c>
    </row>
    <row r="8" spans="2:24" x14ac:dyDescent="0.3">
      <c r="D8" s="1" t="s">
        <v>1686</v>
      </c>
      <c r="I8" s="1" t="s">
        <v>1687</v>
      </c>
      <c r="N8" s="1" t="s">
        <v>1687</v>
      </c>
    </row>
    <row r="9" spans="2:24" x14ac:dyDescent="0.3">
      <c r="D9" s="1" t="s">
        <v>1688</v>
      </c>
      <c r="I9" s="1" t="s">
        <v>1689</v>
      </c>
      <c r="N9" s="1" t="s">
        <v>1689</v>
      </c>
    </row>
    <row r="10" spans="2:24" ht="16.2" thickBot="1" x14ac:dyDescent="0.35"/>
    <row r="11" spans="2:24" x14ac:dyDescent="0.3">
      <c r="D11" s="1520" t="s">
        <v>1042</v>
      </c>
      <c r="E11" s="1521">
        <v>500000</v>
      </c>
      <c r="F11" s="190" t="s">
        <v>1144</v>
      </c>
      <c r="G11" s="190"/>
      <c r="I11" s="1522" t="s">
        <v>1042</v>
      </c>
      <c r="J11" s="1523">
        <v>500000</v>
      </c>
      <c r="K11" s="1524" t="s">
        <v>1144</v>
      </c>
      <c r="L11" s="1524"/>
      <c r="N11" s="1520" t="s">
        <v>1042</v>
      </c>
      <c r="P11" s="1" t="s">
        <v>1690</v>
      </c>
      <c r="Q11" s="1" t="s">
        <v>1690</v>
      </c>
      <c r="R11" s="1" t="s">
        <v>1690</v>
      </c>
      <c r="S11" s="1" t="s">
        <v>1690</v>
      </c>
      <c r="T11" s="1" t="s">
        <v>1690</v>
      </c>
      <c r="U11" s="1" t="s">
        <v>1690</v>
      </c>
      <c r="V11" s="1" t="s">
        <v>1690</v>
      </c>
      <c r="W11" s="1" t="s">
        <v>1690</v>
      </c>
      <c r="X11" s="1" t="s">
        <v>1690</v>
      </c>
    </row>
    <row r="12" spans="2:24" x14ac:dyDescent="0.3">
      <c r="D12" s="1525" t="s">
        <v>1691</v>
      </c>
      <c r="G12" s="190"/>
      <c r="I12" s="1526" t="s">
        <v>1691</v>
      </c>
      <c r="L12" s="1524"/>
      <c r="N12" s="1525" t="s">
        <v>1691</v>
      </c>
    </row>
    <row r="13" spans="2:24" x14ac:dyDescent="0.3">
      <c r="D13" s="1525" t="s">
        <v>1692</v>
      </c>
      <c r="G13" s="190"/>
      <c r="I13" s="1526" t="s">
        <v>1692</v>
      </c>
      <c r="L13" s="1524"/>
      <c r="N13" s="1525" t="s">
        <v>1692</v>
      </c>
    </row>
    <row r="14" spans="2:24" ht="16.2" thickBot="1" x14ac:dyDescent="0.35">
      <c r="D14" s="1527" t="s">
        <v>148</v>
      </c>
      <c r="F14" s="1524"/>
      <c r="G14" s="190"/>
      <c r="H14" s="1524" t="s">
        <v>1144</v>
      </c>
      <c r="I14" s="1528" t="s">
        <v>148</v>
      </c>
      <c r="K14" s="190"/>
      <c r="L14" s="190"/>
      <c r="M14" s="190" t="s">
        <v>1144</v>
      </c>
      <c r="N14" s="1527" t="s">
        <v>148</v>
      </c>
    </row>
    <row r="15" spans="2:24" ht="16.2" thickBot="1" x14ac:dyDescent="0.35">
      <c r="D15" s="1529" t="s">
        <v>1161</v>
      </c>
      <c r="F15" s="1524"/>
      <c r="G15" s="190"/>
      <c r="H15" s="1"/>
      <c r="I15" s="1530" t="s">
        <v>1161</v>
      </c>
      <c r="K15" s="190"/>
      <c r="L15" s="1524"/>
      <c r="M15" s="1"/>
      <c r="N15" s="1529" t="s">
        <v>1161</v>
      </c>
    </row>
    <row r="16" spans="2:24" ht="16.2" thickBot="1" x14ac:dyDescent="0.35">
      <c r="F16" s="1524"/>
      <c r="G16" s="190"/>
      <c r="K16" s="190"/>
      <c r="L16" s="1524"/>
    </row>
    <row r="17" spans="4:24" x14ac:dyDescent="0.3">
      <c r="D17" s="1522" t="s">
        <v>1042</v>
      </c>
      <c r="F17" s="1524"/>
      <c r="G17" s="190"/>
      <c r="H17" s="190" t="s">
        <v>1144</v>
      </c>
      <c r="I17" s="1520" t="s">
        <v>1042</v>
      </c>
      <c r="K17" s="190"/>
      <c r="L17" s="1524"/>
      <c r="M17" s="1524" t="s">
        <v>1144</v>
      </c>
      <c r="N17" s="1522" t="s">
        <v>1042</v>
      </c>
      <c r="P17" s="1" t="s">
        <v>1690</v>
      </c>
      <c r="Q17" s="1" t="s">
        <v>1690</v>
      </c>
      <c r="R17" s="1" t="s">
        <v>1690</v>
      </c>
      <c r="S17" s="1" t="s">
        <v>1690</v>
      </c>
      <c r="T17" s="1" t="s">
        <v>1690</v>
      </c>
      <c r="U17" s="1" t="s">
        <v>1690</v>
      </c>
      <c r="V17" s="1" t="s">
        <v>1690</v>
      </c>
      <c r="W17" s="1" t="s">
        <v>1690</v>
      </c>
      <c r="X17" s="1" t="s">
        <v>1690</v>
      </c>
    </row>
    <row r="18" spans="4:24" x14ac:dyDescent="0.3">
      <c r="D18" s="1526" t="s">
        <v>1691</v>
      </c>
      <c r="E18" s="1523">
        <v>500000</v>
      </c>
      <c r="F18" s="1524" t="s">
        <v>1144</v>
      </c>
      <c r="I18" s="1525" t="s">
        <v>1691</v>
      </c>
      <c r="J18" s="1521">
        <v>500000</v>
      </c>
      <c r="K18" s="190" t="s">
        <v>1144</v>
      </c>
      <c r="N18" s="1526" t="s">
        <v>1691</v>
      </c>
    </row>
    <row r="19" spans="4:24" x14ac:dyDescent="0.3">
      <c r="D19" s="1526" t="s">
        <v>1692</v>
      </c>
      <c r="I19" s="1525" t="s">
        <v>1692</v>
      </c>
      <c r="N19" s="1526" t="s">
        <v>1692</v>
      </c>
    </row>
    <row r="20" spans="4:24" ht="16.2" thickBot="1" x14ac:dyDescent="0.35">
      <c r="D20" s="1528" t="s">
        <v>148</v>
      </c>
      <c r="I20" s="1527" t="s">
        <v>148</v>
      </c>
      <c r="N20" s="1528" t="s">
        <v>148</v>
      </c>
    </row>
    <row r="21" spans="4:24" ht="16.2" thickBot="1" x14ac:dyDescent="0.35">
      <c r="D21" s="1530" t="s">
        <v>1161</v>
      </c>
      <c r="I21" s="1529" t="s">
        <v>1161</v>
      </c>
      <c r="N21" s="1530" t="s">
        <v>1161</v>
      </c>
    </row>
    <row r="23" spans="4:24" x14ac:dyDescent="0.3">
      <c r="D23" s="1" t="s">
        <v>1693</v>
      </c>
      <c r="I23" s="1" t="s">
        <v>1694</v>
      </c>
      <c r="N23" s="1" t="s">
        <v>1694</v>
      </c>
    </row>
    <row r="24" spans="4:24" x14ac:dyDescent="0.3">
      <c r="I24" s="1" t="s">
        <v>1695</v>
      </c>
      <c r="N24" s="1" t="s">
        <v>1695</v>
      </c>
    </row>
    <row r="26" spans="4:24" x14ac:dyDescent="0.3">
      <c r="D26" s="1" t="s">
        <v>1696</v>
      </c>
      <c r="I26" s="1" t="s">
        <v>1697</v>
      </c>
      <c r="N26" s="1" t="s">
        <v>1697</v>
      </c>
    </row>
    <row r="27" spans="4:24" x14ac:dyDescent="0.3">
      <c r="I27" s="1" t="s">
        <v>1695</v>
      </c>
      <c r="N27" s="1" t="s">
        <v>1695</v>
      </c>
    </row>
    <row r="29" spans="4:24" x14ac:dyDescent="0.3">
      <c r="D29" s="1" t="s">
        <v>1698</v>
      </c>
    </row>
    <row r="30" spans="4:24" x14ac:dyDescent="0.3">
      <c r="D30" s="1" t="s">
        <v>1699</v>
      </c>
    </row>
    <row r="31" spans="4:24" x14ac:dyDescent="0.3">
      <c r="D31" s="1" t="s">
        <v>1700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D7271-1C08-49BC-A28A-09B2CB83B939}">
  <dimension ref="A2:CO106"/>
  <sheetViews>
    <sheetView showGridLines="0" topLeftCell="BA60" workbookViewId="0">
      <selection activeCell="BD39" sqref="BD39:BG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47" width="20.21875" style="1" customWidth="1"/>
    <col min="48" max="48" width="8.88671875" style="1"/>
    <col min="49" max="49" width="21.33203125" style="1" bestFit="1" customWidth="1"/>
    <col min="50" max="50" width="8.88671875" style="1"/>
    <col min="51" max="51" width="19.109375" style="1" bestFit="1" customWidth="1"/>
    <col min="52" max="52" width="8.88671875" style="1"/>
    <col min="53" max="53" width="23.6640625" style="1" customWidth="1"/>
    <col min="54" max="54" width="9.44140625" style="1" bestFit="1" customWidth="1"/>
    <col min="55" max="55" width="36.44140625" style="1" customWidth="1"/>
    <col min="56" max="56" width="28" style="1" bestFit="1" customWidth="1"/>
    <col min="57" max="57" width="11.109375" style="1" bestFit="1" customWidth="1"/>
    <col min="58" max="58" width="22.109375" style="1" customWidth="1"/>
    <col min="59" max="59" width="35.6640625" style="1" customWidth="1"/>
    <col min="60" max="60" width="39.109375" style="1" bestFit="1" customWidth="1"/>
    <col min="61" max="61" width="22.21875" style="1" customWidth="1"/>
    <col min="62" max="62" width="24.21875" style="1" bestFit="1" customWidth="1"/>
    <col min="63" max="63" width="8.88671875" style="1"/>
    <col min="64" max="64" width="21.44140625" style="1" bestFit="1" customWidth="1"/>
    <col min="65" max="65" width="8.88671875" style="1"/>
    <col min="66" max="66" width="9.33203125" style="1" customWidth="1"/>
    <col min="67" max="68" width="8.88671875" style="1"/>
    <col min="69" max="69" width="8.88671875" style="1" customWidth="1"/>
    <col min="70" max="70" width="19.6640625" style="1" customWidth="1"/>
    <col min="71" max="71" width="11.109375" style="1" bestFit="1" customWidth="1"/>
    <col min="72" max="72" width="29.5546875" style="1" bestFit="1" customWidth="1"/>
    <col min="73" max="73" width="8.88671875" style="1"/>
    <col min="74" max="74" width="23.109375" style="1" bestFit="1" customWidth="1"/>
    <col min="75" max="75" width="16.88671875" style="12" customWidth="1"/>
    <col min="76" max="76" width="22.44140625" style="1" bestFit="1" customWidth="1"/>
    <col min="77" max="77" width="7.109375" style="1" customWidth="1"/>
    <col min="78" max="78" width="20.21875" style="1" customWidth="1"/>
    <col min="79" max="79" width="9.109375" style="12" customWidth="1"/>
    <col min="80" max="80" width="19.109375" style="1" bestFit="1" customWidth="1"/>
    <col min="81" max="82" width="8.88671875" style="1"/>
    <col min="83" max="83" width="20.6640625" style="1" customWidth="1"/>
    <col min="84" max="84" width="3.6640625" style="1" customWidth="1"/>
    <col min="85" max="86" width="21.88671875" style="1" customWidth="1"/>
    <col min="87" max="87" width="8" style="1" customWidth="1"/>
    <col min="88" max="88" width="21.44140625" style="1" customWidth="1"/>
    <col min="89" max="89" width="19.109375" style="1" bestFit="1" customWidth="1"/>
    <col min="90" max="90" width="25.33203125" style="690" customWidth="1"/>
    <col min="91" max="91" width="8.88671875" style="12"/>
    <col min="92" max="92" width="8.88671875" style="1"/>
    <col min="93" max="93" width="17.44140625" style="1" bestFit="1" customWidth="1"/>
    <col min="94" max="16384" width="8.88671875" style="1"/>
  </cols>
  <sheetData>
    <row r="2" spans="1:91"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W2" s="916"/>
      <c r="CA2" s="916"/>
      <c r="CL2" s="917"/>
      <c r="CM2" s="916"/>
    </row>
    <row r="3" spans="1:91" ht="25.95" customHeight="1" x14ac:dyDescent="0.5">
      <c r="C3" s="570" t="s">
        <v>1446</v>
      </c>
      <c r="F3" s="1081"/>
      <c r="G3" s="648"/>
      <c r="BD3" s="999" t="s">
        <v>1355</v>
      </c>
    </row>
    <row r="4" spans="1:91"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row>
    <row r="5" spans="1:91" ht="18.600000000000001" x14ac:dyDescent="0.45">
      <c r="C5" s="37" t="s">
        <v>972</v>
      </c>
      <c r="D5" s="619"/>
      <c r="E5" s="408">
        <f>E11</f>
        <v>8697716341.475687</v>
      </c>
      <c r="F5" s="1082">
        <v>1</v>
      </c>
      <c r="G5" s="408">
        <f>E5*F5</f>
        <v>8697716341.475687</v>
      </c>
      <c r="H5" s="409">
        <v>0.95</v>
      </c>
      <c r="I5" s="408">
        <f>G5*H5</f>
        <v>8262830524.4019022</v>
      </c>
      <c r="J5" s="409">
        <v>1</v>
      </c>
      <c r="K5" s="408">
        <f>I5*J5</f>
        <v>8262830524.4019022</v>
      </c>
      <c r="L5" s="409">
        <f>H5</f>
        <v>0.95</v>
      </c>
      <c r="M5" s="408">
        <f>K5*L5</f>
        <v>7849688998.1818066</v>
      </c>
      <c r="N5" s="409">
        <f>J5</f>
        <v>1</v>
      </c>
      <c r="O5" s="408">
        <f>M5*N5</f>
        <v>7849688998.1818066</v>
      </c>
      <c r="P5" s="409">
        <f>L5</f>
        <v>0.95</v>
      </c>
      <c r="Q5" s="408">
        <f>O5*P5</f>
        <v>7457204548.2727156</v>
      </c>
      <c r="R5" s="409">
        <f>N5</f>
        <v>1</v>
      </c>
      <c r="S5" s="408">
        <f>Q5*R5</f>
        <v>7457204548.2727156</v>
      </c>
      <c r="T5" s="409">
        <f>P5</f>
        <v>0.95</v>
      </c>
      <c r="U5" s="408">
        <f>S5*T5</f>
        <v>7084344320.8590794</v>
      </c>
      <c r="V5" s="409">
        <f>R5</f>
        <v>1</v>
      </c>
      <c r="W5" s="408">
        <f>U5*V5</f>
        <v>7084344320.8590794</v>
      </c>
      <c r="X5" s="409">
        <f>T5</f>
        <v>0.95</v>
      </c>
      <c r="Y5" s="408">
        <f>W5*X5</f>
        <v>6730127104.8161249</v>
      </c>
      <c r="Z5" s="409">
        <f>V5</f>
        <v>1</v>
      </c>
      <c r="AA5" s="408">
        <f>Y5*Z5</f>
        <v>6730127104.8161249</v>
      </c>
      <c r="AB5" s="409">
        <f>X5</f>
        <v>0.95</v>
      </c>
      <c r="AC5" s="408">
        <f>AA5*AB5</f>
        <v>6393620749.5753183</v>
      </c>
      <c r="AD5" s="409">
        <f>Z5</f>
        <v>1</v>
      </c>
      <c r="AE5" s="408">
        <f>AC5*AD5</f>
        <v>6393620749.5753183</v>
      </c>
      <c r="AF5" s="409">
        <f>AB5</f>
        <v>0.95</v>
      </c>
      <c r="AG5" s="408">
        <f>AE5*AF5</f>
        <v>6073939712.0965519</v>
      </c>
      <c r="AH5" s="409">
        <f>AD5</f>
        <v>1</v>
      </c>
      <c r="AI5" s="408">
        <f>AG5*AH5</f>
        <v>6073939712.0965519</v>
      </c>
      <c r="AJ5" s="409">
        <f>AF5</f>
        <v>0.95</v>
      </c>
      <c r="AK5" s="408">
        <f>AI5*AJ5</f>
        <v>5770242726.491724</v>
      </c>
      <c r="AL5" s="409">
        <f>AH5</f>
        <v>1</v>
      </c>
      <c r="AM5" s="408">
        <f>AK5*AL5</f>
        <v>5770242726.491724</v>
      </c>
      <c r="AN5" s="409">
        <f>AJ5</f>
        <v>0.95</v>
      </c>
      <c r="AO5" s="408">
        <f>AM5*AN5</f>
        <v>5481730590.1671371</v>
      </c>
      <c r="AP5" s="409">
        <f>AL5</f>
        <v>1</v>
      </c>
      <c r="AQ5" s="408">
        <f>AO5*AP5</f>
        <v>5481730590.1671371</v>
      </c>
      <c r="AR5" s="409">
        <f>AN5</f>
        <v>0.95</v>
      </c>
      <c r="AS5" s="408">
        <f>AQ5*AR5</f>
        <v>5207644060.6587801</v>
      </c>
      <c r="AT5" s="409">
        <f>AP5</f>
        <v>1</v>
      </c>
      <c r="AU5" s="408">
        <f>AS5*AT5</f>
        <v>5207644060.6587801</v>
      </c>
      <c r="AV5" s="409">
        <f>AB5</f>
        <v>0.95</v>
      </c>
      <c r="AW5" s="408">
        <f>AU5*AV5</f>
        <v>4947261857.6258411</v>
      </c>
      <c r="AX5" s="409">
        <f>AD5</f>
        <v>1</v>
      </c>
      <c r="AY5" s="408">
        <f>AW5*AX5</f>
        <v>4947261857.6258411</v>
      </c>
      <c r="AZ5" s="409">
        <f>AV5</f>
        <v>0.95</v>
      </c>
      <c r="BA5" s="408">
        <f>AY5*AZ5</f>
        <v>4699898764.7445488</v>
      </c>
      <c r="BB5" s="409">
        <f>AX5</f>
        <v>1</v>
      </c>
      <c r="BC5" s="408">
        <f>BA5*BB5</f>
        <v>4699898764.7445488</v>
      </c>
      <c r="BD5" s="719">
        <f>G5+I5+M5+Q5+U5+Y5+AC5+AG5+AK5+AO5+AS5+AW5+BA5</f>
        <v>84656250299.367218</v>
      </c>
      <c r="BF5" s="621">
        <f>AZ5</f>
        <v>0.95</v>
      </c>
      <c r="BG5" s="622">
        <f>BC5*BF5</f>
        <v>4464903826.5073214</v>
      </c>
      <c r="BH5" s="626"/>
      <c r="BI5" s="626"/>
      <c r="BJ5" s="627"/>
    </row>
    <row r="6" spans="1:91" x14ac:dyDescent="0.3">
      <c r="F6" s="1081"/>
      <c r="BD6" s="93"/>
      <c r="BJ6" s="628"/>
    </row>
    <row r="7" spans="1:91"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462" t="s">
        <v>749</v>
      </c>
      <c r="AW7" s="170" t="s">
        <v>1459</v>
      </c>
      <c r="AX7" s="175" t="s">
        <v>297</v>
      </c>
      <c r="AY7" s="170" t="s">
        <v>59</v>
      </c>
      <c r="AZ7" s="301" t="s">
        <v>749</v>
      </c>
      <c r="BA7" s="121" t="s">
        <v>1460</v>
      </c>
      <c r="BB7" s="173" t="s">
        <v>297</v>
      </c>
      <c r="BC7" s="121" t="s">
        <v>59</v>
      </c>
      <c r="BD7" s="121" t="s">
        <v>1457</v>
      </c>
      <c r="BF7" s="588" t="s">
        <v>1367</v>
      </c>
      <c r="BG7" s="121" t="s">
        <v>1372</v>
      </c>
      <c r="BJ7" s="628"/>
    </row>
    <row r="8" spans="1:91" x14ac:dyDescent="0.3">
      <c r="B8" s="584"/>
      <c r="C8" s="7"/>
      <c r="E8" s="875">
        <f>BD47</f>
        <v>17395432682.951374</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586" t="s">
        <v>1371</v>
      </c>
      <c r="AW8" s="470"/>
      <c r="AX8" s="471"/>
      <c r="AY8" s="470"/>
      <c r="AZ8" s="587" t="s">
        <v>1371</v>
      </c>
      <c r="BA8" s="303"/>
      <c r="BB8" s="179"/>
      <c r="BC8" s="303"/>
      <c r="BD8" s="126"/>
      <c r="BF8" s="589" t="s">
        <v>1371</v>
      </c>
      <c r="BG8" s="303"/>
      <c r="BJ8" s="628"/>
    </row>
    <row r="9" spans="1:91"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122"/>
      <c r="BA9" s="459" t="s">
        <v>282</v>
      </c>
      <c r="BB9" s="122"/>
      <c r="BC9" s="8"/>
      <c r="BD9" s="126"/>
      <c r="BF9" s="122"/>
      <c r="BG9" s="459" t="s">
        <v>282</v>
      </c>
      <c r="BJ9" s="628"/>
    </row>
    <row r="10" spans="1:91" ht="16.2" thickBot="1" x14ac:dyDescent="0.35">
      <c r="B10" s="585"/>
      <c r="C10" s="1211"/>
      <c r="D10" s="630" t="s">
        <v>953</v>
      </c>
      <c r="E10" s="994">
        <f>BE53</f>
        <v>1024</v>
      </c>
      <c r="F10" s="1085">
        <v>0.25</v>
      </c>
      <c r="G10" s="130">
        <f>E14*F10</f>
        <v>241695181.39572316</v>
      </c>
      <c r="H10" s="460">
        <v>0.5</v>
      </c>
      <c r="I10" s="130">
        <f>G10*H10</f>
        <v>120847590.69786158</v>
      </c>
      <c r="J10" s="460">
        <v>1</v>
      </c>
      <c r="K10" s="458">
        <f>I10*J10</f>
        <v>120847590.69786158</v>
      </c>
      <c r="L10" s="129">
        <f>H10</f>
        <v>0.5</v>
      </c>
      <c r="M10" s="458">
        <f>K10*L10</f>
        <v>60423795.348930791</v>
      </c>
      <c r="N10" s="129">
        <f>J10</f>
        <v>1</v>
      </c>
      <c r="O10" s="458">
        <f>M10*N10</f>
        <v>60423795.348930791</v>
      </c>
      <c r="P10" s="129">
        <f>L10</f>
        <v>0.5</v>
      </c>
      <c r="Q10" s="458">
        <f>O10*P10</f>
        <v>30211897.674465396</v>
      </c>
      <c r="R10" s="129">
        <f>N10</f>
        <v>1</v>
      </c>
      <c r="S10" s="458">
        <f>Q10*R10</f>
        <v>30211897.674465396</v>
      </c>
      <c r="T10" s="129">
        <f>P10</f>
        <v>0.5</v>
      </c>
      <c r="U10" s="458">
        <f>S10*T10</f>
        <v>15105948.837232698</v>
      </c>
      <c r="V10" s="129">
        <f>R10</f>
        <v>1</v>
      </c>
      <c r="W10" s="458">
        <f>U10*V10</f>
        <v>15105948.837232698</v>
      </c>
      <c r="X10" s="129">
        <f>T10</f>
        <v>0.5</v>
      </c>
      <c r="Y10" s="458">
        <f>W10*X10</f>
        <v>7552974.4186163489</v>
      </c>
      <c r="Z10" s="129">
        <f>V10</f>
        <v>1</v>
      </c>
      <c r="AA10" s="458">
        <f>Y10*Z10</f>
        <v>7552974.4186163489</v>
      </c>
      <c r="AB10" s="129">
        <f>X10</f>
        <v>0.5</v>
      </c>
      <c r="AC10" s="458">
        <f>AA10*AB10</f>
        <v>3776487.2093081744</v>
      </c>
      <c r="AD10" s="129">
        <f>Z10</f>
        <v>1</v>
      </c>
      <c r="AE10" s="458">
        <f>AC10*AD10</f>
        <v>3776487.2093081744</v>
      </c>
      <c r="AF10" s="129">
        <f>AB10</f>
        <v>0.5</v>
      </c>
      <c r="AG10" s="458">
        <f>AE10*AF10</f>
        <v>1888243.6046540872</v>
      </c>
      <c r="AH10" s="129">
        <f>AD10</f>
        <v>1</v>
      </c>
      <c r="AI10" s="458">
        <f>AG10*AH10</f>
        <v>1888243.6046540872</v>
      </c>
      <c r="AJ10" s="129">
        <f>AF10</f>
        <v>0.5</v>
      </c>
      <c r="AK10" s="458">
        <f>AI10*AJ10</f>
        <v>944121.80232704361</v>
      </c>
      <c r="AL10" s="129">
        <f>AH10</f>
        <v>1</v>
      </c>
      <c r="AM10" s="458">
        <f>AK10*AL10</f>
        <v>944121.80232704361</v>
      </c>
      <c r="AN10" s="129">
        <f>AJ10</f>
        <v>0.5</v>
      </c>
      <c r="AO10" s="458">
        <f>AM10*AN10</f>
        <v>472060.9011635218</v>
      </c>
      <c r="AP10" s="129">
        <f>AL10</f>
        <v>1</v>
      </c>
      <c r="AQ10" s="458">
        <f>AO10*AP10</f>
        <v>472060.9011635218</v>
      </c>
      <c r="AR10" s="129">
        <f>AN10</f>
        <v>0.5</v>
      </c>
      <c r="AS10" s="458">
        <f>AQ10*AR10</f>
        <v>236030.4505817609</v>
      </c>
      <c r="AT10" s="129">
        <f>AP10</f>
        <v>1</v>
      </c>
      <c r="AU10" s="458">
        <f>AS10*AT10</f>
        <v>236030.4505817609</v>
      </c>
      <c r="AV10" s="129">
        <f>AB10</f>
        <v>0.5</v>
      </c>
      <c r="AW10" s="458">
        <f>AU10*AV10</f>
        <v>118015.22529088045</v>
      </c>
      <c r="AX10" s="129">
        <f>AD10</f>
        <v>1</v>
      </c>
      <c r="AY10" s="458">
        <f>AW10*AX10</f>
        <v>118015.22529088045</v>
      </c>
      <c r="AZ10" s="129">
        <f>AV10</f>
        <v>0.5</v>
      </c>
      <c r="BA10" s="458">
        <f>AY10*AZ10</f>
        <v>59007.612645440226</v>
      </c>
      <c r="BB10" s="129">
        <f>AX10</f>
        <v>1</v>
      </c>
      <c r="BC10" s="458">
        <f>BA10*BB10</f>
        <v>59007.612645440226</v>
      </c>
      <c r="BD10" s="719">
        <f>G10+I10+M10+Q10+U10+Y10+AC10+AG10+AK10+AO10+AS10+AW10+BA10</f>
        <v>483331355.17880094</v>
      </c>
      <c r="BF10" s="590">
        <f>AZ10</f>
        <v>0.5</v>
      </c>
      <c r="BG10" s="458">
        <f>BC10*BF10</f>
        <v>29503.806322720113</v>
      </c>
      <c r="BH10" s="623"/>
      <c r="BI10" s="624"/>
      <c r="BJ10" s="628"/>
    </row>
    <row r="11" spans="1:91" ht="16.2" thickBot="1" x14ac:dyDescent="0.35">
      <c r="B11" s="585"/>
      <c r="C11" s="1078"/>
      <c r="D11" s="630" t="s">
        <v>1291</v>
      </c>
      <c r="E11" s="631">
        <f>E8/2</f>
        <v>8697716341.475687</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122"/>
      <c r="BA11" s="457" t="s">
        <v>283</v>
      </c>
      <c r="BB11" s="122"/>
      <c r="BC11" s="8"/>
      <c r="BD11" s="126"/>
      <c r="BF11" s="122"/>
      <c r="BG11" s="457" t="s">
        <v>283</v>
      </c>
      <c r="BH11" s="623"/>
      <c r="BI11" s="623"/>
      <c r="BJ11" s="628"/>
    </row>
    <row r="12" spans="1:91" ht="16.2" thickBot="1" x14ac:dyDescent="0.35">
      <c r="B12" s="584"/>
      <c r="E12" s="997">
        <f>E9*E10</f>
        <v>0</v>
      </c>
      <c r="F12" s="1086">
        <v>0.25</v>
      </c>
      <c r="G12" s="135">
        <f>E14*F12</f>
        <v>241695181.39572316</v>
      </c>
      <c r="H12" s="461">
        <v>0.95</v>
      </c>
      <c r="I12" s="135">
        <f>G12*H12</f>
        <v>229610422.325937</v>
      </c>
      <c r="J12" s="461">
        <v>1</v>
      </c>
      <c r="K12" s="440">
        <f>I12*J12</f>
        <v>229610422.325937</v>
      </c>
      <c r="L12" s="133">
        <f>H12</f>
        <v>0.95</v>
      </c>
      <c r="M12" s="440">
        <f>K12*L12</f>
        <v>218129901.20964015</v>
      </c>
      <c r="N12" s="133">
        <f>J12</f>
        <v>1</v>
      </c>
      <c r="O12" s="440">
        <f>M12*N12</f>
        <v>218129901.20964015</v>
      </c>
      <c r="P12" s="133">
        <f>L12</f>
        <v>0.95</v>
      </c>
      <c r="Q12" s="440">
        <f>O12*P12</f>
        <v>207223406.14915812</v>
      </c>
      <c r="R12" s="133">
        <f>N12</f>
        <v>1</v>
      </c>
      <c r="S12" s="440">
        <f>Q12*R12</f>
        <v>207223406.14915812</v>
      </c>
      <c r="T12" s="133">
        <f>P12</f>
        <v>0.95</v>
      </c>
      <c r="U12" s="440">
        <f>S12*T12</f>
        <v>196862235.8417002</v>
      </c>
      <c r="V12" s="133">
        <f>R12</f>
        <v>1</v>
      </c>
      <c r="W12" s="440">
        <f>U12*V12</f>
        <v>196862235.8417002</v>
      </c>
      <c r="X12" s="133">
        <f>T12</f>
        <v>0.95</v>
      </c>
      <c r="Y12" s="440">
        <f>W12*X12</f>
        <v>187019124.04961517</v>
      </c>
      <c r="Z12" s="133">
        <f>V12</f>
        <v>1</v>
      </c>
      <c r="AA12" s="440">
        <f>Y12*Z12</f>
        <v>187019124.04961517</v>
      </c>
      <c r="AB12" s="133">
        <f>X12</f>
        <v>0.95</v>
      </c>
      <c r="AC12" s="440">
        <f>AA12*AB12</f>
        <v>177668167.84713441</v>
      </c>
      <c r="AD12" s="133">
        <f>Z12</f>
        <v>1</v>
      </c>
      <c r="AE12" s="440">
        <f>AC12*AD12</f>
        <v>177668167.84713441</v>
      </c>
      <c r="AF12" s="133">
        <f>AB12</f>
        <v>0.95</v>
      </c>
      <c r="AG12" s="440">
        <f>AE12*AF12</f>
        <v>168784759.45477769</v>
      </c>
      <c r="AH12" s="133">
        <f>AD12</f>
        <v>1</v>
      </c>
      <c r="AI12" s="440">
        <f>AG12*AH12</f>
        <v>168784759.45477769</v>
      </c>
      <c r="AJ12" s="133">
        <f>AF12</f>
        <v>0.95</v>
      </c>
      <c r="AK12" s="440">
        <f>AI12*AJ12</f>
        <v>160345521.4820388</v>
      </c>
      <c r="AL12" s="133">
        <f>AH12</f>
        <v>1</v>
      </c>
      <c r="AM12" s="440">
        <f>AK12*AL12</f>
        <v>160345521.4820388</v>
      </c>
      <c r="AN12" s="133">
        <f>AJ12</f>
        <v>0.95</v>
      </c>
      <c r="AO12" s="440">
        <f>AM12*AN12</f>
        <v>152328245.40793684</v>
      </c>
      <c r="AP12" s="133">
        <f>AL12</f>
        <v>1</v>
      </c>
      <c r="AQ12" s="440">
        <f>AO12*AP12</f>
        <v>152328245.40793684</v>
      </c>
      <c r="AR12" s="133">
        <f>AN12</f>
        <v>0.95</v>
      </c>
      <c r="AS12" s="440">
        <f>AQ12*AR12</f>
        <v>144711833.13753998</v>
      </c>
      <c r="AT12" s="133">
        <f>AP12</f>
        <v>1</v>
      </c>
      <c r="AU12" s="440">
        <f>AS12*AT12</f>
        <v>144711833.13753998</v>
      </c>
      <c r="AV12" s="133">
        <f>AB12</f>
        <v>0.95</v>
      </c>
      <c r="AW12" s="440">
        <f>AU12*AV12</f>
        <v>137476241.48066297</v>
      </c>
      <c r="AX12" s="133">
        <f>AD12</f>
        <v>1</v>
      </c>
      <c r="AY12" s="440">
        <f>AW12*AX12</f>
        <v>137476241.48066297</v>
      </c>
      <c r="AZ12" s="133">
        <f>AV12</f>
        <v>0.95</v>
      </c>
      <c r="BA12" s="440">
        <f>AY12*AZ12</f>
        <v>130602429.40662982</v>
      </c>
      <c r="BB12" s="133">
        <f>AX12</f>
        <v>1</v>
      </c>
      <c r="BC12" s="440">
        <f>BA12*BB12</f>
        <v>130602429.40662982</v>
      </c>
      <c r="BD12" s="719">
        <f>G12+I12+M12+Q12+U12+Y12+AC12+AG12+AK12+AO12+AS12+AW12+BA12</f>
        <v>2352457469.1884942</v>
      </c>
      <c r="BF12" s="591">
        <f>AZ12</f>
        <v>0.95</v>
      </c>
      <c r="BG12" s="440">
        <f>BC12*BF12</f>
        <v>124072307.93629833</v>
      </c>
      <c r="BH12" s="623"/>
      <c r="BI12" s="624"/>
      <c r="BJ12" s="628"/>
    </row>
    <row r="13" spans="1:91"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122"/>
      <c r="BA13" s="451" t="s">
        <v>284</v>
      </c>
      <c r="BB13" s="122"/>
      <c r="BC13" s="8"/>
      <c r="BD13" s="126"/>
      <c r="BF13" s="122"/>
      <c r="BG13" s="451" t="s">
        <v>284</v>
      </c>
      <c r="BH13" s="623"/>
      <c r="BI13" s="623"/>
      <c r="BJ13" s="628"/>
    </row>
    <row r="14" spans="1:91" ht="16.2" thickBot="1" x14ac:dyDescent="0.35">
      <c r="A14" s="162"/>
      <c r="B14" s="162"/>
      <c r="C14" s="137" t="s">
        <v>291</v>
      </c>
      <c r="D14" s="1212">
        <v>0.111153397929607</v>
      </c>
      <c r="E14" s="139">
        <f>E11*D14</f>
        <v>966780725.58289266</v>
      </c>
      <c r="F14" s="1088">
        <v>0.5</v>
      </c>
      <c r="G14" s="139">
        <f>E14*F14</f>
        <v>483390362.79144633</v>
      </c>
      <c r="H14" s="463">
        <v>0.95</v>
      </c>
      <c r="I14" s="139">
        <f>G14*H14</f>
        <v>459220844.65187401</v>
      </c>
      <c r="J14" s="463">
        <v>1</v>
      </c>
      <c r="K14" s="441">
        <f>I14*J14</f>
        <v>459220844.65187401</v>
      </c>
      <c r="L14" s="140">
        <f>H14</f>
        <v>0.95</v>
      </c>
      <c r="M14" s="441">
        <f>K14*L14</f>
        <v>436259802.41928029</v>
      </c>
      <c r="N14" s="140">
        <f>J14</f>
        <v>1</v>
      </c>
      <c r="O14" s="441">
        <f>M14*N14</f>
        <v>436259802.41928029</v>
      </c>
      <c r="P14" s="140">
        <f>L14</f>
        <v>0.95</v>
      </c>
      <c r="Q14" s="441">
        <f>O14*P14</f>
        <v>414446812.29831624</v>
      </c>
      <c r="R14" s="140">
        <f>N14</f>
        <v>1</v>
      </c>
      <c r="S14" s="441">
        <f>Q14*R14</f>
        <v>414446812.29831624</v>
      </c>
      <c r="T14" s="140">
        <f>P14</f>
        <v>0.95</v>
      </c>
      <c r="U14" s="441">
        <f>S14*T14</f>
        <v>393724471.68340039</v>
      </c>
      <c r="V14" s="140">
        <f>R14</f>
        <v>1</v>
      </c>
      <c r="W14" s="441">
        <f>U14*V14</f>
        <v>393724471.68340039</v>
      </c>
      <c r="X14" s="140">
        <f>T14</f>
        <v>0.95</v>
      </c>
      <c r="Y14" s="441">
        <f>W14*X14</f>
        <v>374038248.09923035</v>
      </c>
      <c r="Z14" s="140">
        <f>V14</f>
        <v>1</v>
      </c>
      <c r="AA14" s="441">
        <f>Y14*Z14</f>
        <v>374038248.09923035</v>
      </c>
      <c r="AB14" s="140">
        <f>X14</f>
        <v>0.95</v>
      </c>
      <c r="AC14" s="441">
        <f>AA14*AB14</f>
        <v>355336335.69426882</v>
      </c>
      <c r="AD14" s="140">
        <f>Z14</f>
        <v>1</v>
      </c>
      <c r="AE14" s="441">
        <f>AC14*AD14</f>
        <v>355336335.69426882</v>
      </c>
      <c r="AF14" s="140">
        <f>AB14</f>
        <v>0.95</v>
      </c>
      <c r="AG14" s="441">
        <f>AE14*AF14</f>
        <v>337569518.90955538</v>
      </c>
      <c r="AH14" s="140">
        <f>AD14</f>
        <v>1</v>
      </c>
      <c r="AI14" s="441">
        <f>AG14*AH14</f>
        <v>337569518.90955538</v>
      </c>
      <c r="AJ14" s="140">
        <f>AF14</f>
        <v>0.95</v>
      </c>
      <c r="AK14" s="441">
        <f>AI14*AJ14</f>
        <v>320691042.96407759</v>
      </c>
      <c r="AL14" s="140">
        <f>AH14</f>
        <v>1</v>
      </c>
      <c r="AM14" s="441">
        <f>AK14*AL14</f>
        <v>320691042.96407759</v>
      </c>
      <c r="AN14" s="140">
        <f>AJ14</f>
        <v>0.95</v>
      </c>
      <c r="AO14" s="441">
        <f>AM14*AN14</f>
        <v>304656490.81587368</v>
      </c>
      <c r="AP14" s="140">
        <f>AL14</f>
        <v>1</v>
      </c>
      <c r="AQ14" s="441">
        <f>AO14*AP14</f>
        <v>304656490.81587368</v>
      </c>
      <c r="AR14" s="140">
        <f>AN14</f>
        <v>0.95</v>
      </c>
      <c r="AS14" s="441">
        <f>AQ14*AR14</f>
        <v>289423666.27507997</v>
      </c>
      <c r="AT14" s="140">
        <f>AP14</f>
        <v>1</v>
      </c>
      <c r="AU14" s="441">
        <f>AS14*AT14</f>
        <v>289423666.27507997</v>
      </c>
      <c r="AV14" s="140">
        <f>AB14</f>
        <v>0.95</v>
      </c>
      <c r="AW14" s="441">
        <f>AU14*AV14</f>
        <v>274952482.96132594</v>
      </c>
      <c r="AX14" s="140">
        <f>AD14</f>
        <v>1</v>
      </c>
      <c r="AY14" s="441">
        <f>AW14*AX14</f>
        <v>274952482.96132594</v>
      </c>
      <c r="AZ14" s="140">
        <f>AV14</f>
        <v>0.95</v>
      </c>
      <c r="BA14" s="441">
        <f>AY14*AZ14</f>
        <v>261204858.81325963</v>
      </c>
      <c r="BB14" s="140">
        <f>AX14</f>
        <v>1</v>
      </c>
      <c r="BC14" s="441">
        <f>BA14*BB14</f>
        <v>261204858.81325963</v>
      </c>
      <c r="BD14" s="719">
        <f>G14+I14+M14+Q14+U14+Y14+AC14+AG14+AK14+AO14+AS14+AW14+BA14</f>
        <v>4704914938.3769884</v>
      </c>
      <c r="BF14" s="592">
        <f>AZ14</f>
        <v>0.95</v>
      </c>
      <c r="BG14" s="441">
        <f>BC14*BF14</f>
        <v>248144615.87259665</v>
      </c>
      <c r="BH14" s="623"/>
      <c r="BI14" s="624"/>
      <c r="BJ14" s="628"/>
    </row>
    <row r="15" spans="1:91"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122"/>
      <c r="BA15" s="8"/>
      <c r="BB15" s="122"/>
      <c r="BC15" s="8"/>
      <c r="BD15" s="126"/>
      <c r="BF15" s="122"/>
      <c r="BG15" s="8"/>
      <c r="BH15" s="623"/>
      <c r="BI15" s="623"/>
      <c r="BJ15" s="628"/>
    </row>
    <row r="16" spans="1:91"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455"/>
      <c r="BA16" s="454" t="s">
        <v>744</v>
      </c>
      <c r="BB16" s="141"/>
      <c r="BC16" s="164"/>
      <c r="BD16" s="126"/>
      <c r="BF16" s="455"/>
      <c r="BG16" s="454" t="s">
        <v>744</v>
      </c>
      <c r="BH16" s="625"/>
      <c r="BI16" s="625"/>
      <c r="BJ16" s="628"/>
      <c r="BW16" s="233"/>
      <c r="CA16" s="233"/>
      <c r="CL16" s="345"/>
      <c r="CM16" s="233"/>
    </row>
    <row r="17" spans="1:93" ht="16.2" thickBot="1" x14ac:dyDescent="0.35">
      <c r="A17" s="18"/>
      <c r="B17" s="18"/>
      <c r="C17" s="397" t="s">
        <v>276</v>
      </c>
      <c r="D17" s="1213">
        <f>100%-D14-D21</f>
        <v>0.5625</v>
      </c>
      <c r="E17" s="399">
        <f>E11*D17</f>
        <v>4892465442.0800743</v>
      </c>
      <c r="F17" s="1090">
        <v>1</v>
      </c>
      <c r="G17" s="399">
        <f>E17*F17</f>
        <v>4892465442.0800743</v>
      </c>
      <c r="H17" s="464">
        <v>0.95</v>
      </c>
      <c r="I17" s="399">
        <f>G17*H17</f>
        <v>4647842169.9760704</v>
      </c>
      <c r="J17" s="464">
        <v>1</v>
      </c>
      <c r="K17" s="453">
        <f>I17*J17</f>
        <v>4647842169.9760704</v>
      </c>
      <c r="L17" s="400">
        <f>H17</f>
        <v>0.95</v>
      </c>
      <c r="M17" s="453">
        <f>K17*L17</f>
        <v>4415450061.4772663</v>
      </c>
      <c r="N17" s="400">
        <f>J17</f>
        <v>1</v>
      </c>
      <c r="O17" s="453">
        <f>M17*N17</f>
        <v>4415450061.4772663</v>
      </c>
      <c r="P17" s="400">
        <f>L17</f>
        <v>0.95</v>
      </c>
      <c r="Q17" s="453">
        <f>O17*P17</f>
        <v>4194677558.4034028</v>
      </c>
      <c r="R17" s="400">
        <f>N17</f>
        <v>1</v>
      </c>
      <c r="S17" s="453">
        <f>Q17*R17</f>
        <v>4194677558.4034028</v>
      </c>
      <c r="T17" s="400">
        <f>P17</f>
        <v>0.95</v>
      </c>
      <c r="U17" s="453">
        <f>S17*T17</f>
        <v>3984943680.4832325</v>
      </c>
      <c r="V17" s="400">
        <f>R17</f>
        <v>1</v>
      </c>
      <c r="W17" s="453">
        <f>U17*V17</f>
        <v>3984943680.4832325</v>
      </c>
      <c r="X17" s="400">
        <f>T17</f>
        <v>0.95</v>
      </c>
      <c r="Y17" s="453">
        <f>W17*X17</f>
        <v>3785696496.4590707</v>
      </c>
      <c r="Z17" s="400">
        <f>V17</f>
        <v>1</v>
      </c>
      <c r="AA17" s="453">
        <f>Y17*Z17</f>
        <v>3785696496.4590707</v>
      </c>
      <c r="AB17" s="400">
        <f>X17</f>
        <v>0.95</v>
      </c>
      <c r="AC17" s="453">
        <f>AA17*AB17</f>
        <v>3596411671.636117</v>
      </c>
      <c r="AD17" s="400">
        <f>Z17</f>
        <v>1</v>
      </c>
      <c r="AE17" s="453">
        <f>AC17*AD17</f>
        <v>3596411671.636117</v>
      </c>
      <c r="AF17" s="400">
        <f>AB17</f>
        <v>0.95</v>
      </c>
      <c r="AG17" s="453">
        <f>AE17*AF17</f>
        <v>3416591088.0543108</v>
      </c>
      <c r="AH17" s="400">
        <f>AD17</f>
        <v>1</v>
      </c>
      <c r="AI17" s="453">
        <f>AG17*AH17</f>
        <v>3416591088.0543108</v>
      </c>
      <c r="AJ17" s="400">
        <f>AF17</f>
        <v>0.95</v>
      </c>
      <c r="AK17" s="453">
        <f>AI17*AJ17</f>
        <v>3245761533.6515951</v>
      </c>
      <c r="AL17" s="400">
        <f>AH17</f>
        <v>1</v>
      </c>
      <c r="AM17" s="453">
        <f>AK17*AL17</f>
        <v>3245761533.6515951</v>
      </c>
      <c r="AN17" s="400">
        <f>AJ17</f>
        <v>0.95</v>
      </c>
      <c r="AO17" s="453">
        <f>AM17*AN17</f>
        <v>3083473456.9690151</v>
      </c>
      <c r="AP17" s="400">
        <f>AL17</f>
        <v>1</v>
      </c>
      <c r="AQ17" s="453">
        <f>AO17*AP17</f>
        <v>3083473456.9690151</v>
      </c>
      <c r="AR17" s="400">
        <f>AN17</f>
        <v>0.95</v>
      </c>
      <c r="AS17" s="453">
        <f>AQ17*AR17</f>
        <v>2929299784.1205645</v>
      </c>
      <c r="AT17" s="400">
        <f>AP17</f>
        <v>1</v>
      </c>
      <c r="AU17" s="453">
        <f>AS17*AT17</f>
        <v>2929299784.1205645</v>
      </c>
      <c r="AV17" s="400">
        <f>AB17</f>
        <v>0.95</v>
      </c>
      <c r="AW17" s="453">
        <f>AU17*AV17</f>
        <v>2782834794.914536</v>
      </c>
      <c r="AX17" s="400">
        <f>AD17</f>
        <v>1</v>
      </c>
      <c r="AY17" s="453">
        <f>AW17*AX17</f>
        <v>2782834794.914536</v>
      </c>
      <c r="AZ17" s="400">
        <f>AV17</f>
        <v>0.95</v>
      </c>
      <c r="BA17" s="453">
        <f>AY17*AZ17</f>
        <v>2643693055.1688089</v>
      </c>
      <c r="BB17" s="400">
        <f>AX17</f>
        <v>1</v>
      </c>
      <c r="BC17" s="453">
        <f>BA17*BB17</f>
        <v>2643693055.1688089</v>
      </c>
      <c r="BD17" s="719">
        <f>G17+I17+M17+Q17+U17+Y17+AC17+AG17+AK17+AO17+AS17+AW17+BA17</f>
        <v>47619140793.394066</v>
      </c>
      <c r="BF17" s="593">
        <f>AZ17</f>
        <v>0.95</v>
      </c>
      <c r="BG17" s="453">
        <f>BC17*BF17</f>
        <v>2511508402.4103684</v>
      </c>
      <c r="BH17" s="623"/>
      <c r="BI17" s="624"/>
      <c r="BJ17" s="628"/>
      <c r="BZ17" s="974" t="s">
        <v>872</v>
      </c>
      <c r="CB17" s="974" t="s">
        <v>872</v>
      </c>
      <c r="CE17" s="974" t="s">
        <v>872</v>
      </c>
    </row>
    <row r="18" spans="1:93"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122"/>
      <c r="BA18" s="8"/>
      <c r="BB18" s="122"/>
      <c r="BC18" s="8"/>
      <c r="BD18" s="126"/>
      <c r="BF18" s="122"/>
      <c r="BG18" s="8"/>
      <c r="BH18" s="623"/>
      <c r="BI18" s="623"/>
      <c r="BJ18" s="628"/>
      <c r="BZ18" s="974" t="s">
        <v>5</v>
      </c>
      <c r="CB18" s="974" t="s">
        <v>7</v>
      </c>
      <c r="CE18" s="77" t="s">
        <v>968</v>
      </c>
    </row>
    <row r="19" spans="1:93"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122"/>
      <c r="BA19" s="8"/>
      <c r="BB19" s="122"/>
      <c r="BC19" s="8"/>
      <c r="BD19" s="126"/>
      <c r="BF19" s="122"/>
      <c r="BG19" s="8"/>
      <c r="BH19" s="623"/>
      <c r="BI19" s="623"/>
      <c r="BJ19" s="628"/>
      <c r="BM19" s="473"/>
      <c r="BN19" s="473"/>
      <c r="BO19" s="473"/>
      <c r="BP19" s="473"/>
      <c r="BQ19" s="473"/>
      <c r="BR19" s="473"/>
      <c r="BS19" s="473"/>
      <c r="BT19" s="473"/>
      <c r="BU19" s="473"/>
      <c r="BV19" s="473"/>
      <c r="BW19" s="970"/>
      <c r="BX19" s="485"/>
      <c r="BY19" s="485"/>
      <c r="BZ19" s="485" t="s">
        <v>961</v>
      </c>
      <c r="CA19" s="485" t="s">
        <v>967</v>
      </c>
      <c r="CB19" s="485" t="s">
        <v>59</v>
      </c>
      <c r="CC19" s="485" t="s">
        <v>1343</v>
      </c>
      <c r="CD19" s="485" t="s">
        <v>1344</v>
      </c>
      <c r="CE19" s="485"/>
      <c r="CF19" s="473"/>
      <c r="CG19" s="485" t="s">
        <v>966</v>
      </c>
      <c r="CH19" s="485" t="s">
        <v>974</v>
      </c>
      <c r="CI19" s="485" t="s">
        <v>965</v>
      </c>
      <c r="CJ19" s="485" t="s">
        <v>965</v>
      </c>
      <c r="CK19" s="485" t="s">
        <v>1345</v>
      </c>
      <c r="CL19" s="305" t="s">
        <v>1286</v>
      </c>
      <c r="CM19" s="304"/>
    </row>
    <row r="20" spans="1:93"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122"/>
      <c r="BA20" s="450" t="s">
        <v>285</v>
      </c>
      <c r="BB20" s="122"/>
      <c r="BC20" s="8"/>
      <c r="BD20" s="126"/>
      <c r="BF20" s="122"/>
      <c r="BG20" s="450" t="s">
        <v>285</v>
      </c>
      <c r="BH20" s="623"/>
      <c r="BI20" s="623"/>
      <c r="BJ20" s="628"/>
      <c r="BM20" s="473"/>
      <c r="BN20" s="473"/>
      <c r="BO20" s="473"/>
      <c r="BP20" s="473"/>
      <c r="BQ20" s="473"/>
      <c r="BR20" s="473"/>
      <c r="BS20" s="473"/>
      <c r="BT20" s="473"/>
      <c r="BU20" s="473"/>
      <c r="BV20" s="473"/>
      <c r="BW20" s="970"/>
      <c r="BX20" s="485"/>
      <c r="BY20" s="485"/>
      <c r="BZ20" s="971">
        <f>'POP Dimensions'!C15</f>
        <v>10737418.24</v>
      </c>
      <c r="CA20" s="954">
        <v>64</v>
      </c>
      <c r="CB20" s="972">
        <f>CA20*BZ20</f>
        <v>687194767.36000001</v>
      </c>
      <c r="CC20" s="954">
        <v>16</v>
      </c>
      <c r="CD20" s="954"/>
      <c r="CE20" s="971">
        <f>CB20*CC20</f>
        <v>10995116277.76</v>
      </c>
      <c r="CF20" s="473"/>
      <c r="CG20" s="485" t="s">
        <v>785</v>
      </c>
      <c r="CH20" s="485"/>
      <c r="CI20" s="485" t="s">
        <v>962</v>
      </c>
      <c r="CJ20" s="485" t="s">
        <v>1341</v>
      </c>
      <c r="CK20" s="485" t="s">
        <v>1342</v>
      </c>
      <c r="CL20" s="305"/>
      <c r="CM20" s="304"/>
    </row>
    <row r="21" spans="1:93" ht="16.2" thickBot="1" x14ac:dyDescent="0.35">
      <c r="C21" s="149" t="s">
        <v>737</v>
      </c>
      <c r="D21" s="1214">
        <v>0.32634660207039301</v>
      </c>
      <c r="E21" s="151">
        <f>E11*D21</f>
        <v>2838470173.8127208</v>
      </c>
      <c r="F21" s="1092">
        <v>0.3</v>
      </c>
      <c r="G21" s="151">
        <f>E21*F21</f>
        <v>851541052.14381623</v>
      </c>
      <c r="H21" s="465">
        <v>0.95</v>
      </c>
      <c r="I21" s="151">
        <f>G21*H21</f>
        <v>808963999.53662539</v>
      </c>
      <c r="J21" s="465">
        <v>1</v>
      </c>
      <c r="K21" s="444">
        <f>I21*J21</f>
        <v>808963999.53662539</v>
      </c>
      <c r="L21" s="152">
        <f>H21</f>
        <v>0.95</v>
      </c>
      <c r="M21" s="444">
        <f>K21*L21</f>
        <v>768515799.55979407</v>
      </c>
      <c r="N21" s="152">
        <f>J21</f>
        <v>1</v>
      </c>
      <c r="O21" s="444">
        <f>M21*N21</f>
        <v>768515799.55979407</v>
      </c>
      <c r="P21" s="152">
        <f>L21</f>
        <v>0.95</v>
      </c>
      <c r="Q21" s="444">
        <f>O21*P21</f>
        <v>730090009.58180428</v>
      </c>
      <c r="R21" s="152">
        <f>N21</f>
        <v>1</v>
      </c>
      <c r="S21" s="444">
        <f>Q21*R21</f>
        <v>730090009.58180428</v>
      </c>
      <c r="T21" s="152">
        <f>P21</f>
        <v>0.95</v>
      </c>
      <c r="U21" s="444">
        <f>S21*T21</f>
        <v>693585509.10271406</v>
      </c>
      <c r="V21" s="152">
        <f>R21</f>
        <v>1</v>
      </c>
      <c r="W21" s="444">
        <f>U21*V21</f>
        <v>693585509.10271406</v>
      </c>
      <c r="X21" s="152">
        <f>T21</f>
        <v>0.95</v>
      </c>
      <c r="Y21" s="444">
        <f>W21*X21</f>
        <v>658906233.64757836</v>
      </c>
      <c r="Z21" s="152">
        <f>V21</f>
        <v>1</v>
      </c>
      <c r="AA21" s="444">
        <f>Y21*Z21</f>
        <v>658906233.64757836</v>
      </c>
      <c r="AB21" s="152">
        <f>X21</f>
        <v>0.95</v>
      </c>
      <c r="AC21" s="444">
        <f>AA21*AB21</f>
        <v>625960921.96519947</v>
      </c>
      <c r="AD21" s="152">
        <f>Z21</f>
        <v>1</v>
      </c>
      <c r="AE21" s="444">
        <f>AC21*AD21</f>
        <v>625960921.96519947</v>
      </c>
      <c r="AF21" s="152">
        <f>AB21</f>
        <v>0.95</v>
      </c>
      <c r="AG21" s="444">
        <f>AE21*AF21</f>
        <v>594662875.86693943</v>
      </c>
      <c r="AH21" s="152">
        <f>AD21</f>
        <v>1</v>
      </c>
      <c r="AI21" s="444">
        <f>AG21*AH21</f>
        <v>594662875.86693943</v>
      </c>
      <c r="AJ21" s="152">
        <f>AF21</f>
        <v>0.95</v>
      </c>
      <c r="AK21" s="444">
        <f>AI21*AJ21</f>
        <v>564929732.07359242</v>
      </c>
      <c r="AL21" s="152">
        <f>AH21</f>
        <v>1</v>
      </c>
      <c r="AM21" s="444">
        <f>AK21*AL21</f>
        <v>564929732.07359242</v>
      </c>
      <c r="AN21" s="152">
        <f>AJ21</f>
        <v>0.95</v>
      </c>
      <c r="AO21" s="444">
        <f>AM21*AN21</f>
        <v>536683245.46991277</v>
      </c>
      <c r="AP21" s="152">
        <f>AL21</f>
        <v>1</v>
      </c>
      <c r="AQ21" s="444">
        <f>AO21*AP21</f>
        <v>536683245.46991277</v>
      </c>
      <c r="AR21" s="152">
        <f>AN21</f>
        <v>0.95</v>
      </c>
      <c r="AS21" s="444">
        <f>AQ21*AR21</f>
        <v>509849083.19641709</v>
      </c>
      <c r="AT21" s="152">
        <f>AP21</f>
        <v>1</v>
      </c>
      <c r="AU21" s="444">
        <f>AS21*AT21</f>
        <v>509849083.19641709</v>
      </c>
      <c r="AV21" s="152">
        <f>AB21</f>
        <v>0.95</v>
      </c>
      <c r="AW21" s="444">
        <f>AU21*AV21</f>
        <v>484356629.03659624</v>
      </c>
      <c r="AX21" s="152">
        <f>AD21</f>
        <v>1</v>
      </c>
      <c r="AY21" s="444">
        <f>AW21*AX21</f>
        <v>484356629.03659624</v>
      </c>
      <c r="AZ21" s="152">
        <f>AV21</f>
        <v>0.95</v>
      </c>
      <c r="BA21" s="444">
        <f>AY21*AZ21</f>
        <v>460138797.58476639</v>
      </c>
      <c r="BB21" s="152">
        <f>AX21</f>
        <v>1</v>
      </c>
      <c r="BC21" s="444">
        <f>BA21*BB21</f>
        <v>460138797.58476639</v>
      </c>
      <c r="BD21" s="719">
        <f>G21+I21+M21+Q21+U21+Y21+AC21+AG21+AK21+AO21+AS21+AW21+BA21</f>
        <v>8288183888.7657557</v>
      </c>
      <c r="BF21" s="594">
        <f>AZ21</f>
        <v>0.95</v>
      </c>
      <c r="BG21" s="444">
        <f>BC21*BF21</f>
        <v>437131857.70552802</v>
      </c>
      <c r="BH21" s="623"/>
      <c r="BI21" s="624"/>
      <c r="BJ21" s="628"/>
      <c r="BM21" s="473"/>
      <c r="CC21" s="976"/>
      <c r="CD21" s="976"/>
      <c r="CM21" s="913"/>
    </row>
    <row r="22" spans="1:93"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437"/>
      <c r="BA22" s="449" t="s">
        <v>738</v>
      </c>
      <c r="BB22" s="433"/>
      <c r="BC22" s="434"/>
      <c r="BD22" s="180"/>
      <c r="BF22" s="437"/>
      <c r="BG22" s="449" t="s">
        <v>738</v>
      </c>
      <c r="BH22" s="623"/>
      <c r="BI22" s="623"/>
      <c r="BJ22" s="628"/>
      <c r="BM22" s="473"/>
      <c r="BT22" s="1" t="s">
        <v>955</v>
      </c>
      <c r="BX22" s="581" t="s">
        <v>964</v>
      </c>
      <c r="BY22" s="75"/>
      <c r="BZ22" s="75"/>
      <c r="CA22" s="986"/>
      <c r="CB22" s="896"/>
      <c r="CC22" s="980"/>
      <c r="CD22" s="980"/>
      <c r="CE22" s="75"/>
      <c r="CG22" s="75"/>
      <c r="CH22" s="76"/>
      <c r="CI22" s="75"/>
      <c r="CJ22" s="76">
        <f>CJ31</f>
        <v>1372242051.072</v>
      </c>
      <c r="CK22" s="75"/>
      <c r="CL22" s="910"/>
      <c r="CM22" s="304"/>
    </row>
    <row r="23" spans="1:93" ht="16.2" thickBot="1" x14ac:dyDescent="0.35">
      <c r="C23" s="141"/>
      <c r="D23" s="94">
        <f>SUM(D14:D21)</f>
        <v>1</v>
      </c>
      <c r="E23" s="371"/>
      <c r="F23" s="1093">
        <v>0.25</v>
      </c>
      <c r="G23" s="432">
        <f>E21*F23</f>
        <v>709617543.45318019</v>
      </c>
      <c r="H23" s="466">
        <v>0.95</v>
      </c>
      <c r="I23" s="432">
        <f>G23*H23</f>
        <v>674136666.28052115</v>
      </c>
      <c r="J23" s="466">
        <v>1</v>
      </c>
      <c r="K23" s="449">
        <f>I23*J23</f>
        <v>674136666.28052115</v>
      </c>
      <c r="L23" s="430">
        <f>H23</f>
        <v>0.95</v>
      </c>
      <c r="M23" s="449">
        <f>K23*L23</f>
        <v>640429832.96649504</v>
      </c>
      <c r="N23" s="430">
        <f>J23</f>
        <v>1</v>
      </c>
      <c r="O23" s="449">
        <f>M23*N23</f>
        <v>640429832.96649504</v>
      </c>
      <c r="P23" s="430">
        <f>L23</f>
        <v>0.95</v>
      </c>
      <c r="Q23" s="449">
        <f>O23*P23</f>
        <v>608408341.31817031</v>
      </c>
      <c r="R23" s="430">
        <f>N23</f>
        <v>1</v>
      </c>
      <c r="S23" s="449">
        <f>Q23*R23</f>
        <v>608408341.31817031</v>
      </c>
      <c r="T23" s="430">
        <f>P23</f>
        <v>0.95</v>
      </c>
      <c r="U23" s="449">
        <f>S23*T23</f>
        <v>577987924.25226176</v>
      </c>
      <c r="V23" s="430">
        <f>R23</f>
        <v>1</v>
      </c>
      <c r="W23" s="449">
        <f>U23*V23</f>
        <v>577987924.25226176</v>
      </c>
      <c r="X23" s="430">
        <f>T23</f>
        <v>0.95</v>
      </c>
      <c r="Y23" s="449">
        <f>W23*X23</f>
        <v>549088528.03964865</v>
      </c>
      <c r="Z23" s="430">
        <f>V23</f>
        <v>1</v>
      </c>
      <c r="AA23" s="449">
        <f>Y23*Z23</f>
        <v>549088528.03964865</v>
      </c>
      <c r="AB23" s="430">
        <f>X23</f>
        <v>0.95</v>
      </c>
      <c r="AC23" s="449">
        <f>AA23*AB23</f>
        <v>521634101.63766617</v>
      </c>
      <c r="AD23" s="430">
        <f>Z23</f>
        <v>1</v>
      </c>
      <c r="AE23" s="449">
        <f>AC23*AD23</f>
        <v>521634101.63766617</v>
      </c>
      <c r="AF23" s="430">
        <f>AB23</f>
        <v>0.95</v>
      </c>
      <c r="AG23" s="449">
        <f>AE23*AF23</f>
        <v>495552396.55578285</v>
      </c>
      <c r="AH23" s="430">
        <f>AD23</f>
        <v>1</v>
      </c>
      <c r="AI23" s="449">
        <f>AG23*AH23</f>
        <v>495552396.55578285</v>
      </c>
      <c r="AJ23" s="430">
        <f>AF23</f>
        <v>0.95</v>
      </c>
      <c r="AK23" s="449">
        <f>AI23*AJ23</f>
        <v>470774776.72799367</v>
      </c>
      <c r="AL23" s="430">
        <f>AH23</f>
        <v>1</v>
      </c>
      <c r="AM23" s="449">
        <f>AK23*AL23</f>
        <v>470774776.72799367</v>
      </c>
      <c r="AN23" s="430">
        <f>AJ23</f>
        <v>0.95</v>
      </c>
      <c r="AO23" s="449">
        <f>AM23*AN23</f>
        <v>447236037.89159393</v>
      </c>
      <c r="AP23" s="430">
        <f>AL23</f>
        <v>1</v>
      </c>
      <c r="AQ23" s="449">
        <f>AO23*AP23</f>
        <v>447236037.89159393</v>
      </c>
      <c r="AR23" s="430">
        <f>AN23</f>
        <v>0.95</v>
      </c>
      <c r="AS23" s="449">
        <f>AQ23*AR23</f>
        <v>424874235.99701422</v>
      </c>
      <c r="AT23" s="430">
        <f>AP23</f>
        <v>1</v>
      </c>
      <c r="AU23" s="449">
        <f>AS23*AT23</f>
        <v>424874235.99701422</v>
      </c>
      <c r="AV23" s="430">
        <f>AB23</f>
        <v>0.95</v>
      </c>
      <c r="AW23" s="449">
        <f>AU23*AV23</f>
        <v>403630524.19716352</v>
      </c>
      <c r="AX23" s="430">
        <f>AD23</f>
        <v>1</v>
      </c>
      <c r="AY23" s="449">
        <f>AW23*AX23</f>
        <v>403630524.19716352</v>
      </c>
      <c r="AZ23" s="430">
        <f>AV23</f>
        <v>0.95</v>
      </c>
      <c r="BA23" s="449">
        <f>AY23*AZ23</f>
        <v>383448997.98730534</v>
      </c>
      <c r="BB23" s="430">
        <f>AX23</f>
        <v>1</v>
      </c>
      <c r="BC23" s="449">
        <f>BA23*BB23</f>
        <v>383448997.98730534</v>
      </c>
      <c r="BD23" s="719">
        <f>G23+I23+M23+Q23+U23+Y23+AC23+AG23+AK23+AO23+AS23+AW23+BA23</f>
        <v>6906819907.3047972</v>
      </c>
      <c r="BF23" s="595">
        <f>AZ23</f>
        <v>0.95</v>
      </c>
      <c r="BG23" s="449">
        <f>BC23*BF23</f>
        <v>364276548.08794004</v>
      </c>
      <c r="BH23" s="623"/>
      <c r="BI23" s="624"/>
      <c r="BJ23" s="628"/>
      <c r="BM23" s="473"/>
      <c r="BR23" s="982" t="s">
        <v>989</v>
      </c>
      <c r="BS23" s="983">
        <v>2016</v>
      </c>
      <c r="BT23" s="910">
        <v>75543543000000</v>
      </c>
      <c r="BU23" s="984">
        <v>2.5000000000000001E-2</v>
      </c>
      <c r="BV23" s="910">
        <f>BT23*BU23</f>
        <v>1888588575000</v>
      </c>
      <c r="BX23" s="75"/>
      <c r="BY23" s="968">
        <v>2016</v>
      </c>
      <c r="BZ23" s="305">
        <f>BZ20</f>
        <v>10737418.24</v>
      </c>
      <c r="CA23" s="986">
        <v>64</v>
      </c>
      <c r="CB23" s="411">
        <f t="shared" ref="CB23:CB35" si="0">CA23*BZ23</f>
        <v>687194767.36000001</v>
      </c>
      <c r="CC23" s="980"/>
      <c r="CD23" s="980"/>
      <c r="CE23" s="305">
        <f t="shared" ref="CE23:CE35" si="1">CB23*CC23</f>
        <v>0</v>
      </c>
      <c r="CG23" s="75"/>
      <c r="CH23" s="76"/>
      <c r="CI23" s="75"/>
      <c r="CJ23" s="953">
        <v>25000</v>
      </c>
      <c r="CK23" s="968" t="s">
        <v>1349</v>
      </c>
      <c r="CL23" s="910"/>
      <c r="CM23" s="981">
        <v>2016</v>
      </c>
    </row>
    <row r="24" spans="1:93"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122"/>
      <c r="BA24" s="448" t="s">
        <v>294</v>
      </c>
      <c r="BB24" s="122"/>
      <c r="BC24" s="8"/>
      <c r="BD24" s="126"/>
      <c r="BF24" s="122"/>
      <c r="BG24" s="448" t="s">
        <v>294</v>
      </c>
      <c r="BH24" s="623"/>
      <c r="BI24" s="623"/>
      <c r="BJ24" s="628"/>
      <c r="BM24" s="473"/>
      <c r="BR24" s="982" t="s">
        <v>989</v>
      </c>
      <c r="BS24" s="983">
        <f>BS23+1</f>
        <v>2017</v>
      </c>
      <c r="BT24" s="910">
        <f>BT23+BV23</f>
        <v>77432131575000</v>
      </c>
      <c r="BU24" s="985">
        <f>BU23</f>
        <v>2.5000000000000001E-2</v>
      </c>
      <c r="BV24" s="910">
        <f>BT24*BU24</f>
        <v>1935803289375</v>
      </c>
      <c r="BX24" s="75"/>
      <c r="BY24" s="968">
        <f>BY23+1</f>
        <v>2017</v>
      </c>
      <c r="BZ24" s="305">
        <f>BZ20</f>
        <v>10737418.24</v>
      </c>
      <c r="CA24" s="986">
        <v>64</v>
      </c>
      <c r="CB24" s="411">
        <f t="shared" si="0"/>
        <v>687194767.36000001</v>
      </c>
      <c r="CC24" s="980"/>
      <c r="CD24" s="980"/>
      <c r="CE24" s="305">
        <f t="shared" si="1"/>
        <v>0</v>
      </c>
      <c r="CG24" s="75"/>
      <c r="CH24" s="76"/>
      <c r="CI24" s="75"/>
      <c r="CJ24" s="76">
        <f>CJ22/CJ23</f>
        <v>54889.682042879998</v>
      </c>
      <c r="CK24" s="75"/>
      <c r="CL24" s="910"/>
      <c r="CM24" s="981">
        <f>CM23+1</f>
        <v>2017</v>
      </c>
    </row>
    <row r="25" spans="1:93" ht="16.2" thickBot="1" x14ac:dyDescent="0.35">
      <c r="C25" s="122"/>
      <c r="D25" s="573" t="s">
        <v>1367</v>
      </c>
      <c r="E25" s="7"/>
      <c r="F25" s="1094">
        <v>0.2</v>
      </c>
      <c r="G25" s="99">
        <f>E21*F25</f>
        <v>567694034.76254416</v>
      </c>
      <c r="H25" s="467">
        <v>0.95</v>
      </c>
      <c r="I25" s="99">
        <f>G25*H25</f>
        <v>539309333.02441692</v>
      </c>
      <c r="J25" s="467">
        <v>1</v>
      </c>
      <c r="K25" s="443">
        <f>I25*J25</f>
        <v>539309333.02441692</v>
      </c>
      <c r="L25" s="153">
        <f>H25</f>
        <v>0.95</v>
      </c>
      <c r="M25" s="443">
        <f>K25*L25</f>
        <v>512343866.37319607</v>
      </c>
      <c r="N25" s="153">
        <f>J25</f>
        <v>1</v>
      </c>
      <c r="O25" s="443">
        <f>M25*N25</f>
        <v>512343866.37319607</v>
      </c>
      <c r="P25" s="153">
        <f>L25</f>
        <v>0.95</v>
      </c>
      <c r="Q25" s="443">
        <f>O25*P25</f>
        <v>486726673.05453622</v>
      </c>
      <c r="R25" s="153">
        <f>N25</f>
        <v>1</v>
      </c>
      <c r="S25" s="443">
        <f>Q25*R25</f>
        <v>486726673.05453622</v>
      </c>
      <c r="T25" s="153">
        <f>P25</f>
        <v>0.95</v>
      </c>
      <c r="U25" s="443">
        <f>S25*T25</f>
        <v>462390339.40180939</v>
      </c>
      <c r="V25" s="153">
        <f>R25</f>
        <v>1</v>
      </c>
      <c r="W25" s="443">
        <f>U25*V25</f>
        <v>462390339.40180939</v>
      </c>
      <c r="X25" s="153">
        <f>T25</f>
        <v>0.95</v>
      </c>
      <c r="Y25" s="443">
        <f>W25*X25</f>
        <v>439270822.43171889</v>
      </c>
      <c r="Z25" s="153">
        <f>V25</f>
        <v>1</v>
      </c>
      <c r="AA25" s="443">
        <f>Y25*Z25</f>
        <v>439270822.43171889</v>
      </c>
      <c r="AB25" s="153">
        <f>X25</f>
        <v>0.95</v>
      </c>
      <c r="AC25" s="443">
        <f>AA25*AB25</f>
        <v>417307281.31013292</v>
      </c>
      <c r="AD25" s="153">
        <f>Z25</f>
        <v>1</v>
      </c>
      <c r="AE25" s="443">
        <f>AC25*AD25</f>
        <v>417307281.31013292</v>
      </c>
      <c r="AF25" s="153">
        <f>AB25</f>
        <v>0.95</v>
      </c>
      <c r="AG25" s="443">
        <f>AE25*AF25</f>
        <v>396441917.24462628</v>
      </c>
      <c r="AH25" s="153">
        <f>AD25</f>
        <v>1</v>
      </c>
      <c r="AI25" s="443">
        <f>AG25*AH25</f>
        <v>396441917.24462628</v>
      </c>
      <c r="AJ25" s="153">
        <f>AF25</f>
        <v>0.95</v>
      </c>
      <c r="AK25" s="443">
        <f>AI25*AJ25</f>
        <v>376619821.38239497</v>
      </c>
      <c r="AL25" s="153">
        <f>AH25</f>
        <v>1</v>
      </c>
      <c r="AM25" s="443">
        <f>AK25*AL25</f>
        <v>376619821.38239497</v>
      </c>
      <c r="AN25" s="153">
        <f>AJ25</f>
        <v>0.95</v>
      </c>
      <c r="AO25" s="443">
        <f>AM25*AN25</f>
        <v>357788830.31327522</v>
      </c>
      <c r="AP25" s="153">
        <f>AL25</f>
        <v>1</v>
      </c>
      <c r="AQ25" s="443">
        <f>AO25*AP25</f>
        <v>357788830.31327522</v>
      </c>
      <c r="AR25" s="153">
        <f>AN25</f>
        <v>0.95</v>
      </c>
      <c r="AS25" s="443">
        <f>AQ25*AR25</f>
        <v>339899388.79761142</v>
      </c>
      <c r="AT25" s="153">
        <f>AP25</f>
        <v>1</v>
      </c>
      <c r="AU25" s="443">
        <f>AS25*AT25</f>
        <v>339899388.79761142</v>
      </c>
      <c r="AV25" s="153">
        <f>AB25</f>
        <v>0.95</v>
      </c>
      <c r="AW25" s="443">
        <f>AU25*AV25</f>
        <v>322904419.35773081</v>
      </c>
      <c r="AX25" s="153">
        <f>AD25</f>
        <v>1</v>
      </c>
      <c r="AY25" s="443">
        <f>AW25*AX25</f>
        <v>322904419.35773081</v>
      </c>
      <c r="AZ25" s="153">
        <f>AV25</f>
        <v>0.95</v>
      </c>
      <c r="BA25" s="443">
        <f>AY25*AZ25</f>
        <v>306759198.38984424</v>
      </c>
      <c r="BB25" s="153">
        <f>AX25</f>
        <v>1</v>
      </c>
      <c r="BC25" s="443">
        <f>BA25*BB25</f>
        <v>306759198.38984424</v>
      </c>
      <c r="BD25" s="719">
        <f>G25+I25+M25+Q25+U25+Y25+AC25+AG25+AK25+AO25+AS25+AW25+BA25</f>
        <v>5525455925.8438368</v>
      </c>
      <c r="BF25" s="596">
        <f>AZ25</f>
        <v>0.95</v>
      </c>
      <c r="BG25" s="443">
        <f>BC25*BF25</f>
        <v>291421238.47035199</v>
      </c>
      <c r="BH25" s="623"/>
      <c r="BI25" s="624"/>
      <c r="BJ25" s="628"/>
      <c r="BM25" s="473"/>
      <c r="BR25" s="982" t="s">
        <v>989</v>
      </c>
      <c r="BS25" s="983">
        <f t="shared" ref="BS25:BS35" si="2">BS24+1</f>
        <v>2018</v>
      </c>
      <c r="BT25" s="910">
        <f t="shared" ref="BT25:BT35" si="3">BT24+BV24</f>
        <v>79367934864375</v>
      </c>
      <c r="BU25" s="985">
        <f t="shared" ref="BU25:BU35" si="4">BU24</f>
        <v>2.5000000000000001E-2</v>
      </c>
      <c r="BV25" s="910">
        <f t="shared" ref="BV25:BV35" si="5">BT25*BU25</f>
        <v>1984198371609.375</v>
      </c>
      <c r="BX25" s="75"/>
      <c r="BY25" s="968">
        <f t="shared" ref="BY25:BY35" si="6">BY24+1</f>
        <v>2018</v>
      </c>
      <c r="BZ25" s="305">
        <f>BZ20</f>
        <v>10737418.24</v>
      </c>
      <c r="CA25" s="986">
        <v>64</v>
      </c>
      <c r="CB25" s="411">
        <f t="shared" si="0"/>
        <v>687194767.36000001</v>
      </c>
      <c r="CC25" s="980">
        <v>2.5000000000000001E-2</v>
      </c>
      <c r="CD25" s="980"/>
      <c r="CE25" s="305">
        <f t="shared" si="1"/>
        <v>17179869.184</v>
      </c>
      <c r="CF25" s="978" t="s">
        <v>1144</v>
      </c>
      <c r="CG25" s="305">
        <f t="shared" ref="CG25:CG55" si="7">CE25</f>
        <v>17179869.184</v>
      </c>
      <c r="CH25" s="691">
        <f t="shared" ref="CH25:CH35" si="8">CG25+CH24-CL25</f>
        <v>17179869.184</v>
      </c>
      <c r="CI25" s="893">
        <v>0.125</v>
      </c>
      <c r="CJ25" s="973">
        <f>CH25*CI25</f>
        <v>2147483.648</v>
      </c>
      <c r="CK25" s="305">
        <f>BD58</f>
        <v>1394924787.3240538</v>
      </c>
      <c r="CL25" s="910">
        <f t="shared" ref="CL25:CL35" si="9">CB25*CD25</f>
        <v>0</v>
      </c>
      <c r="CM25" s="981">
        <f t="shared" ref="CM25:CM55" si="10">CM24+1</f>
        <v>2018</v>
      </c>
    </row>
    <row r="26" spans="1:93"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126"/>
      <c r="BF26" s="122"/>
      <c r="BG26" s="452" t="s">
        <v>733</v>
      </c>
      <c r="BH26" s="623"/>
      <c r="BI26" s="623"/>
      <c r="BJ26" s="628"/>
      <c r="BM26" s="473"/>
      <c r="BR26" s="982" t="s">
        <v>989</v>
      </c>
      <c r="BS26" s="983">
        <f t="shared" si="2"/>
        <v>2019</v>
      </c>
      <c r="BT26" s="910">
        <f t="shared" si="3"/>
        <v>81352133235984.375</v>
      </c>
      <c r="BU26" s="985">
        <f t="shared" si="4"/>
        <v>2.5000000000000001E-2</v>
      </c>
      <c r="BV26" s="910">
        <f t="shared" si="5"/>
        <v>2033803330899.6094</v>
      </c>
      <c r="BX26" s="75"/>
      <c r="BY26" s="968">
        <f t="shared" si="6"/>
        <v>2019</v>
      </c>
      <c r="BZ26" s="305">
        <f>BZ20</f>
        <v>10737418.24</v>
      </c>
      <c r="CA26" s="986">
        <v>64</v>
      </c>
      <c r="CB26" s="411">
        <f t="shared" si="0"/>
        <v>687194767.36000001</v>
      </c>
      <c r="CC26" s="980">
        <v>0.2</v>
      </c>
      <c r="CD26" s="980"/>
      <c r="CE26" s="305">
        <f t="shared" si="1"/>
        <v>137438953.472</v>
      </c>
      <c r="CF26" s="978" t="s">
        <v>1144</v>
      </c>
      <c r="CG26" s="305">
        <f t="shared" si="7"/>
        <v>137438953.472</v>
      </c>
      <c r="CH26" s="691">
        <f t="shared" si="8"/>
        <v>154618822.65600002</v>
      </c>
      <c r="CI26" s="893">
        <f>CI25</f>
        <v>0.125</v>
      </c>
      <c r="CJ26" s="973">
        <f t="shared" ref="CJ26:CJ55" si="11">CH26*CI26</f>
        <v>19327352.832000002</v>
      </c>
      <c r="CK26" s="305">
        <f>CK25</f>
        <v>1394924787.3240538</v>
      </c>
      <c r="CL26" s="910">
        <f t="shared" si="9"/>
        <v>0</v>
      </c>
      <c r="CM26" s="981">
        <f t="shared" si="10"/>
        <v>2019</v>
      </c>
    </row>
    <row r="27" spans="1:93" ht="19.2" thickBot="1" x14ac:dyDescent="0.5">
      <c r="C27" s="122"/>
      <c r="D27" s="574" t="s">
        <v>1369</v>
      </c>
      <c r="E27" s="7"/>
      <c r="F27" s="1096">
        <v>0.25</v>
      </c>
      <c r="G27" s="446">
        <f>E21*F27</f>
        <v>709617543.45318019</v>
      </c>
      <c r="H27" s="447">
        <v>0.25</v>
      </c>
      <c r="I27" s="446">
        <f>G27*H27</f>
        <v>177404385.86329505</v>
      </c>
      <c r="J27" s="447">
        <v>1</v>
      </c>
      <c r="K27" s="439">
        <f>I27*J27</f>
        <v>177404385.86329505</v>
      </c>
      <c r="L27" s="438">
        <f>H27</f>
        <v>0.25</v>
      </c>
      <c r="M27" s="439">
        <f>K27*L27</f>
        <v>44351096.465823762</v>
      </c>
      <c r="N27" s="438">
        <f>J27</f>
        <v>1</v>
      </c>
      <c r="O27" s="439">
        <f>M27*N27</f>
        <v>44351096.465823762</v>
      </c>
      <c r="P27" s="438">
        <f>L27</f>
        <v>0.25</v>
      </c>
      <c r="Q27" s="439">
        <f>O27*P27</f>
        <v>11087774.116455941</v>
      </c>
      <c r="R27" s="438">
        <f>N27</f>
        <v>1</v>
      </c>
      <c r="S27" s="439">
        <f>Q27*R27</f>
        <v>11087774.116455941</v>
      </c>
      <c r="T27" s="438">
        <f>P27</f>
        <v>0.25</v>
      </c>
      <c r="U27" s="439">
        <f>S27*T27</f>
        <v>2771943.5291139851</v>
      </c>
      <c r="V27" s="438">
        <f>R27</f>
        <v>1</v>
      </c>
      <c r="W27" s="439">
        <f>U27*V27</f>
        <v>2771943.5291139851</v>
      </c>
      <c r="X27" s="438">
        <f>T27</f>
        <v>0.25</v>
      </c>
      <c r="Y27" s="439">
        <f>W27*X27</f>
        <v>692985.88227849628</v>
      </c>
      <c r="Z27" s="438">
        <f>V27</f>
        <v>1</v>
      </c>
      <c r="AA27" s="439">
        <f>Y27*Z27</f>
        <v>692985.88227849628</v>
      </c>
      <c r="AB27" s="438">
        <f>X27</f>
        <v>0.25</v>
      </c>
      <c r="AC27" s="439">
        <f>AA27*AB27</f>
        <v>173246.47056962407</v>
      </c>
      <c r="AD27" s="438">
        <f>Z27</f>
        <v>1</v>
      </c>
      <c r="AE27" s="439">
        <f>AC27*AD27</f>
        <v>173246.47056962407</v>
      </c>
      <c r="AF27" s="438">
        <f>AB27</f>
        <v>0.25</v>
      </c>
      <c r="AG27" s="439">
        <f>AE27*AF27</f>
        <v>43311.617642406018</v>
      </c>
      <c r="AH27" s="438">
        <f>AD27</f>
        <v>1</v>
      </c>
      <c r="AI27" s="439">
        <f>AG27*AH27</f>
        <v>43311.617642406018</v>
      </c>
      <c r="AJ27" s="438">
        <f>AF27</f>
        <v>0.25</v>
      </c>
      <c r="AK27" s="439">
        <f>AI27*AJ27</f>
        <v>10827.904410601504</v>
      </c>
      <c r="AL27" s="438">
        <f>AH27</f>
        <v>1</v>
      </c>
      <c r="AM27" s="439">
        <f>AK27*AL27</f>
        <v>10827.904410601504</v>
      </c>
      <c r="AN27" s="438">
        <f>AJ27</f>
        <v>0.25</v>
      </c>
      <c r="AO27" s="439">
        <f>AM27*AN27</f>
        <v>2706.9761026503761</v>
      </c>
      <c r="AP27" s="438">
        <f>AL27</f>
        <v>1</v>
      </c>
      <c r="AQ27" s="439">
        <f>AO27*AP27</f>
        <v>2706.9761026503761</v>
      </c>
      <c r="AR27" s="438">
        <f>AN27</f>
        <v>0.25</v>
      </c>
      <c r="AS27" s="439">
        <f>AQ27*AR27</f>
        <v>676.74402566259403</v>
      </c>
      <c r="AT27" s="438">
        <f>AP27</f>
        <v>1</v>
      </c>
      <c r="AU27" s="439">
        <f>AS27*AT27</f>
        <v>676.74402566259403</v>
      </c>
      <c r="AV27" s="438">
        <f>AB27</f>
        <v>0.25</v>
      </c>
      <c r="AW27" s="439">
        <f>AU27*AV27</f>
        <v>169.18600641564851</v>
      </c>
      <c r="AX27" s="438">
        <f>AD27</f>
        <v>1</v>
      </c>
      <c r="AY27" s="439">
        <f>AW27*AX27</f>
        <v>169.18600641564851</v>
      </c>
      <c r="AZ27" s="438">
        <f>AV27</f>
        <v>0.25</v>
      </c>
      <c r="BA27" s="439">
        <f>AY27*AZ27</f>
        <v>42.296501603912127</v>
      </c>
      <c r="BB27" s="438">
        <f>AX27</f>
        <v>1</v>
      </c>
      <c r="BC27" s="439">
        <f>BA27*BB27</f>
        <v>42.296501603912127</v>
      </c>
      <c r="BD27" s="719">
        <f>G27+I27+M27+Q27+U27+Y27+AC27+AG27+AK27+AO27+AS27+AW27+BA27</f>
        <v>946156710.5054065</v>
      </c>
      <c r="BF27" s="597">
        <f>AZ27</f>
        <v>0.25</v>
      </c>
      <c r="BG27" s="439">
        <f>BC27*BF27</f>
        <v>10.574125400978032</v>
      </c>
      <c r="BH27" s="623"/>
      <c r="BI27" s="624"/>
      <c r="BJ27" s="628"/>
      <c r="BM27" s="473"/>
      <c r="BR27" s="982" t="s">
        <v>989</v>
      </c>
      <c r="BS27" s="983">
        <f t="shared" si="2"/>
        <v>2020</v>
      </c>
      <c r="BT27" s="910">
        <f t="shared" si="3"/>
        <v>83385936566883.984</v>
      </c>
      <c r="BU27" s="985">
        <f t="shared" si="4"/>
        <v>2.5000000000000001E-2</v>
      </c>
      <c r="BV27" s="910">
        <f t="shared" si="5"/>
        <v>2084648414172.0996</v>
      </c>
      <c r="BW27" s="895" t="s">
        <v>1283</v>
      </c>
      <c r="BX27" s="75"/>
      <c r="BY27" s="968">
        <f t="shared" si="6"/>
        <v>2020</v>
      </c>
      <c r="BZ27" s="305">
        <f>BZ20</f>
        <v>10737418.24</v>
      </c>
      <c r="CA27" s="986">
        <v>64</v>
      </c>
      <c r="CB27" s="411">
        <f t="shared" si="0"/>
        <v>687194767.36000001</v>
      </c>
      <c r="CC27" s="980">
        <v>1.5</v>
      </c>
      <c r="CD27" s="980"/>
      <c r="CE27" s="305">
        <f t="shared" si="1"/>
        <v>1030792151.04</v>
      </c>
      <c r="CF27" s="978" t="s">
        <v>1144</v>
      </c>
      <c r="CG27" s="305">
        <f t="shared" si="7"/>
        <v>1030792151.04</v>
      </c>
      <c r="CH27" s="691">
        <f t="shared" si="8"/>
        <v>1185410973.6960001</v>
      </c>
      <c r="CI27" s="893">
        <f t="shared" ref="CI27:CI31" si="12">CI26</f>
        <v>0.125</v>
      </c>
      <c r="CJ27" s="973">
        <f t="shared" si="11"/>
        <v>148176371.71200001</v>
      </c>
      <c r="CK27" s="305">
        <f t="shared" ref="CK27:CK55" si="13">CK26</f>
        <v>1394924787.3240538</v>
      </c>
      <c r="CL27" s="910">
        <f t="shared" si="9"/>
        <v>0</v>
      </c>
      <c r="CM27" s="981">
        <f t="shared" si="10"/>
        <v>2020</v>
      </c>
    </row>
    <row r="28" spans="1:93"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437"/>
      <c r="BA28" s="434"/>
      <c r="BB28" s="142"/>
      <c r="BC28" s="434"/>
      <c r="BD28" s="180"/>
      <c r="BF28" s="122"/>
      <c r="BG28" s="8"/>
      <c r="BH28" s="623"/>
      <c r="BI28" s="624"/>
      <c r="BJ28" s="629">
        <f>BG5</f>
        <v>4464903826.5073214</v>
      </c>
      <c r="BM28" s="473"/>
      <c r="BR28" s="982" t="s">
        <v>989</v>
      </c>
      <c r="BS28" s="983">
        <f t="shared" si="2"/>
        <v>2021</v>
      </c>
      <c r="BT28" s="910">
        <f t="shared" si="3"/>
        <v>85470584981056.078</v>
      </c>
      <c r="BU28" s="985">
        <f t="shared" si="4"/>
        <v>2.5000000000000001E-2</v>
      </c>
      <c r="BV28" s="910">
        <f t="shared" si="5"/>
        <v>2136764624526.4021</v>
      </c>
      <c r="BX28" s="75"/>
      <c r="BY28" s="968">
        <f t="shared" si="6"/>
        <v>2021</v>
      </c>
      <c r="BZ28" s="305">
        <f>BZ20</f>
        <v>10737418.24</v>
      </c>
      <c r="CA28" s="986">
        <v>64</v>
      </c>
      <c r="CB28" s="411">
        <f t="shared" si="0"/>
        <v>687194767.36000001</v>
      </c>
      <c r="CC28" s="980">
        <v>1.25</v>
      </c>
      <c r="CD28" s="980"/>
      <c r="CE28" s="305">
        <f t="shared" si="1"/>
        <v>858993459.20000005</v>
      </c>
      <c r="CF28" s="978" t="s">
        <v>1144</v>
      </c>
      <c r="CG28" s="305">
        <f t="shared" si="7"/>
        <v>858993459.20000005</v>
      </c>
      <c r="CH28" s="691">
        <f t="shared" si="8"/>
        <v>2044404432.8960001</v>
      </c>
      <c r="CI28" s="893">
        <f t="shared" si="12"/>
        <v>0.125</v>
      </c>
      <c r="CJ28" s="973">
        <f t="shared" si="11"/>
        <v>255550554.11200002</v>
      </c>
      <c r="CK28" s="305">
        <f t="shared" si="13"/>
        <v>1394924787.3240538</v>
      </c>
      <c r="CL28" s="910">
        <f t="shared" si="9"/>
        <v>0</v>
      </c>
      <c r="CM28" s="981">
        <f t="shared" si="10"/>
        <v>2021</v>
      </c>
    </row>
    <row r="29" spans="1:93"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122"/>
      <c r="BA29" s="8"/>
      <c r="BB29" s="122"/>
      <c r="BC29" s="8"/>
      <c r="BD29" s="180">
        <f>SUM(BD10:BD27)</f>
        <v>76826460988.558151</v>
      </c>
      <c r="BF29" s="179"/>
      <c r="BG29" s="161">
        <f>SUM(BG10:BG28)</f>
        <v>3976584484.8635321</v>
      </c>
      <c r="BH29" s="691">
        <v>1</v>
      </c>
      <c r="BI29" s="183">
        <f>BG29*BH29</f>
        <v>3976584484.8635321</v>
      </c>
      <c r="BJ29" s="645">
        <f>BI29+BJ28</f>
        <v>8441488311.3708534</v>
      </c>
      <c r="BK29" s="253" t="s">
        <v>1383</v>
      </c>
      <c r="BM29" s="473"/>
      <c r="BR29" s="982" t="s">
        <v>989</v>
      </c>
      <c r="BS29" s="983">
        <f>BS28+1</f>
        <v>2022</v>
      </c>
      <c r="BT29" s="910">
        <f>BT28+BV28</f>
        <v>87607349605582.484</v>
      </c>
      <c r="BU29" s="985">
        <f>BU28</f>
        <v>2.5000000000000001E-2</v>
      </c>
      <c r="BV29" s="910">
        <f t="shared" si="5"/>
        <v>2190183740139.5623</v>
      </c>
      <c r="BX29" s="75"/>
      <c r="BY29" s="968">
        <f>BY28+1</f>
        <v>2022</v>
      </c>
      <c r="BZ29" s="305">
        <f>BZ20</f>
        <v>10737418.24</v>
      </c>
      <c r="CA29" s="986">
        <v>64</v>
      </c>
      <c r="CB29" s="411">
        <f t="shared" si="0"/>
        <v>687194767.36000001</v>
      </c>
      <c r="CC29" s="980">
        <v>2</v>
      </c>
      <c r="CD29" s="980"/>
      <c r="CE29" s="305">
        <f t="shared" si="1"/>
        <v>1374389534.72</v>
      </c>
      <c r="CF29" s="978" t="s">
        <v>1144</v>
      </c>
      <c r="CG29" s="305">
        <f t="shared" si="7"/>
        <v>1374389534.72</v>
      </c>
      <c r="CH29" s="691">
        <f t="shared" si="8"/>
        <v>3418793967.6160002</v>
      </c>
      <c r="CI29" s="893">
        <f t="shared" si="12"/>
        <v>0.125</v>
      </c>
      <c r="CJ29" s="973">
        <f t="shared" si="11"/>
        <v>427349245.95200002</v>
      </c>
      <c r="CK29" s="305">
        <f t="shared" si="13"/>
        <v>1394924787.3240538</v>
      </c>
      <c r="CL29" s="910">
        <f t="shared" si="9"/>
        <v>0</v>
      </c>
      <c r="CM29" s="981">
        <f>CM28+1</f>
        <v>2022</v>
      </c>
    </row>
    <row r="30" spans="1:93" x14ac:dyDescent="0.3">
      <c r="C30" s="158"/>
      <c r="D30" s="10"/>
      <c r="E30" s="10"/>
      <c r="F30" s="10"/>
      <c r="G30" s="159">
        <f>SUM(G10:G29)</f>
        <v>8697716341.475687</v>
      </c>
      <c r="H30" s="599"/>
      <c r="I30" s="172">
        <f>SUM(I10:I29)</f>
        <v>7657335412.3566008</v>
      </c>
      <c r="J30" s="158"/>
      <c r="K30" s="11"/>
      <c r="L30" s="160"/>
      <c r="M30" s="161">
        <f>SUM(M10:M29)</f>
        <v>7095904155.8204269</v>
      </c>
      <c r="N30" s="158"/>
      <c r="O30" s="11"/>
      <c r="P30" s="598"/>
      <c r="Q30" s="172">
        <f>SUM(Q10:Q29)</f>
        <v>6682872472.5963097</v>
      </c>
      <c r="R30" s="158"/>
      <c r="S30" s="11"/>
      <c r="T30" s="160"/>
      <c r="U30" s="161">
        <f>SUM(U10:U29)</f>
        <v>6327372053.1314659</v>
      </c>
      <c r="V30" s="158"/>
      <c r="W30" s="11"/>
      <c r="X30" s="598"/>
      <c r="Y30" s="172">
        <f>SUM(Y10:Y29)</f>
        <v>6002265413.0277567</v>
      </c>
      <c r="Z30" s="158"/>
      <c r="AA30" s="11"/>
      <c r="AB30" s="160"/>
      <c r="AC30" s="161">
        <f>SUM(AC10:AC29)</f>
        <v>5698268213.7703962</v>
      </c>
      <c r="AD30" s="158"/>
      <c r="AE30" s="11"/>
      <c r="AF30" s="598"/>
      <c r="AG30" s="172">
        <f>SUM(AG10:AG29)</f>
        <v>5411534111.3082886</v>
      </c>
      <c r="AH30" s="158"/>
      <c r="AI30" s="11"/>
      <c r="AJ30" s="598"/>
      <c r="AK30" s="172">
        <f>SUM(AK10:AK29)</f>
        <v>5140077377.98843</v>
      </c>
      <c r="AL30" s="158"/>
      <c r="AM30" s="11"/>
      <c r="AN30" s="598"/>
      <c r="AO30" s="172">
        <f>SUM(AO10:AO29)</f>
        <v>4882641074.744874</v>
      </c>
      <c r="AP30" s="158"/>
      <c r="AQ30" s="11"/>
      <c r="AR30" s="598"/>
      <c r="AS30" s="172">
        <f>SUM(AS10:AS29)</f>
        <v>4638294698.7188339</v>
      </c>
      <c r="AT30" s="158"/>
      <c r="AU30" s="11"/>
      <c r="AV30" s="598"/>
      <c r="AW30" s="172">
        <f>SUM(AW10:AW29)</f>
        <v>4406273276.359313</v>
      </c>
      <c r="AX30" s="158"/>
      <c r="AY30" s="11"/>
      <c r="AZ30" s="179"/>
      <c r="BA30" s="161">
        <f>SUM(BA10:BA29)</f>
        <v>4185906387.2597613</v>
      </c>
      <c r="BB30" s="158"/>
      <c r="BC30" s="11"/>
      <c r="BD30" s="161">
        <f>G30+I30+M30+Q30+U30+Y30+AC30+AW30+BA30</f>
        <v>56753913725.797714</v>
      </c>
      <c r="BJ30" s="253" t="s">
        <v>1383</v>
      </c>
      <c r="BM30" s="473"/>
      <c r="BR30" s="982" t="s">
        <v>989</v>
      </c>
      <c r="BS30" s="983">
        <f>BS29+1</f>
        <v>2023</v>
      </c>
      <c r="BT30" s="910">
        <f>BT29+BV29</f>
        <v>89797533345722.047</v>
      </c>
      <c r="BU30" s="985">
        <f>BU29</f>
        <v>2.5000000000000001E-2</v>
      </c>
      <c r="BV30" s="910">
        <f t="shared" si="5"/>
        <v>2244938333643.0513</v>
      </c>
      <c r="BX30" s="75"/>
      <c r="BY30" s="968">
        <f>BY29+1</f>
        <v>2023</v>
      </c>
      <c r="BZ30" s="305">
        <f>BZ20</f>
        <v>10737418.24</v>
      </c>
      <c r="CA30" s="986">
        <v>64</v>
      </c>
      <c r="CB30" s="411">
        <f t="shared" si="0"/>
        <v>687194767.36000001</v>
      </c>
      <c r="CC30" s="980">
        <v>3</v>
      </c>
      <c r="CD30" s="980"/>
      <c r="CE30" s="305">
        <f t="shared" si="1"/>
        <v>2061584302.0799999</v>
      </c>
      <c r="CF30" s="978" t="s">
        <v>1144</v>
      </c>
      <c r="CG30" s="305">
        <f t="shared" si="7"/>
        <v>2061584302.0799999</v>
      </c>
      <c r="CH30" s="691">
        <f t="shared" si="8"/>
        <v>5480378269.6960001</v>
      </c>
      <c r="CI30" s="893">
        <f t="shared" si="12"/>
        <v>0.125</v>
      </c>
      <c r="CJ30" s="973">
        <f t="shared" si="11"/>
        <v>685047283.71200001</v>
      </c>
      <c r="CK30" s="305">
        <f t="shared" si="13"/>
        <v>1394924787.3240538</v>
      </c>
      <c r="CL30" s="910">
        <f t="shared" si="9"/>
        <v>0</v>
      </c>
      <c r="CM30" s="981">
        <f>CM29+1</f>
        <v>2023</v>
      </c>
    </row>
    <row r="31" spans="1:93" x14ac:dyDescent="0.3">
      <c r="I31" s="30"/>
      <c r="Q31" s="30"/>
      <c r="Y31" s="30"/>
      <c r="BD31" s="999" t="s">
        <v>1355</v>
      </c>
      <c r="BF31" s="77" t="s">
        <v>1382</v>
      </c>
      <c r="BG31" s="567">
        <f>BD34</f>
        <v>9.2830522948813243</v>
      </c>
      <c r="BH31" s="76"/>
      <c r="BI31" s="76" t="s">
        <v>957</v>
      </c>
      <c r="BM31" s="473"/>
      <c r="BR31" s="982" t="s">
        <v>989</v>
      </c>
      <c r="BS31" s="983">
        <f t="shared" si="2"/>
        <v>2024</v>
      </c>
      <c r="BT31" s="910">
        <f t="shared" si="3"/>
        <v>92042471679365.094</v>
      </c>
      <c r="BU31" s="985">
        <f t="shared" si="4"/>
        <v>2.5000000000000001E-2</v>
      </c>
      <c r="BV31" s="910">
        <f t="shared" si="5"/>
        <v>2301061791984.1274</v>
      </c>
      <c r="BW31" s="895" t="s">
        <v>1282</v>
      </c>
      <c r="BX31" s="75"/>
      <c r="BY31" s="968">
        <f t="shared" si="6"/>
        <v>2024</v>
      </c>
      <c r="BZ31" s="305">
        <f>BZ20</f>
        <v>10737418.24</v>
      </c>
      <c r="CA31" s="986">
        <v>64</v>
      </c>
      <c r="CB31" s="411">
        <f t="shared" si="0"/>
        <v>687194767.36000001</v>
      </c>
      <c r="CC31" s="980">
        <v>8</v>
      </c>
      <c r="CD31" s="980"/>
      <c r="CE31" s="305">
        <f t="shared" si="1"/>
        <v>5497558138.8800001</v>
      </c>
      <c r="CF31" s="978" t="s">
        <v>1144</v>
      </c>
      <c r="CG31" s="305">
        <f t="shared" si="7"/>
        <v>5497558138.8800001</v>
      </c>
      <c r="CH31" s="691">
        <f t="shared" si="8"/>
        <v>10977936408.576</v>
      </c>
      <c r="CI31" s="893">
        <f t="shared" si="12"/>
        <v>0.125</v>
      </c>
      <c r="CJ31" s="995">
        <f t="shared" si="11"/>
        <v>1372242051.072</v>
      </c>
      <c r="CK31" s="305">
        <f t="shared" si="13"/>
        <v>1394924787.3240538</v>
      </c>
      <c r="CL31" s="910">
        <f t="shared" si="9"/>
        <v>0</v>
      </c>
      <c r="CM31" s="981">
        <f t="shared" si="10"/>
        <v>2024</v>
      </c>
      <c r="CN31" s="1000">
        <v>0.125</v>
      </c>
      <c r="CO31" s="1001">
        <f>CJ31*CI31</f>
        <v>171530256.384</v>
      </c>
    </row>
    <row r="32" spans="1:93" x14ac:dyDescent="0.3">
      <c r="A32" s="690"/>
      <c r="B32" s="690"/>
      <c r="I32" s="690"/>
      <c r="BC32" s="1150" t="s">
        <v>306</v>
      </c>
      <c r="BD32" s="182">
        <f>E8</f>
        <v>17395432682.951374</v>
      </c>
      <c r="BF32" s="736">
        <f>BD47</f>
        <v>17395432682.951374</v>
      </c>
      <c r="BG32" s="568">
        <f>BF32*BD34</f>
        <v>161482711287.92535</v>
      </c>
      <c r="BH32" s="208">
        <f>BE49</f>
        <v>0.66163000000000005</v>
      </c>
      <c r="BI32" s="691">
        <f>BG32*BH32</f>
        <v>106841806269.43005</v>
      </c>
      <c r="BM32" s="473"/>
      <c r="BR32" s="332" t="s">
        <v>989</v>
      </c>
      <c r="BS32" s="953">
        <f>BS31+1</f>
        <v>2025</v>
      </c>
      <c r="BT32" s="691">
        <f>BT31+BV31</f>
        <v>94343533471349.219</v>
      </c>
      <c r="BU32" s="894">
        <f>BU31</f>
        <v>2.5000000000000001E-2</v>
      </c>
      <c r="BV32" s="691">
        <f t="shared" si="5"/>
        <v>2358588336783.7305</v>
      </c>
      <c r="BX32" s="332" t="s">
        <v>963</v>
      </c>
      <c r="BY32" s="953">
        <f>BY31+1</f>
        <v>2025</v>
      </c>
      <c r="BZ32" s="691">
        <f>BZ20</f>
        <v>10737418.24</v>
      </c>
      <c r="CA32" s="987">
        <v>64</v>
      </c>
      <c r="CB32" s="875">
        <f t="shared" si="0"/>
        <v>687194767.36000001</v>
      </c>
      <c r="CC32" s="977"/>
      <c r="CD32" s="977"/>
      <c r="CE32" s="691">
        <f t="shared" si="1"/>
        <v>0</v>
      </c>
      <c r="CG32" s="691">
        <f t="shared" si="7"/>
        <v>0</v>
      </c>
      <c r="CH32" s="691">
        <f t="shared" si="8"/>
        <v>10977936408.576</v>
      </c>
      <c r="CI32" s="894">
        <f>CI31</f>
        <v>0.125</v>
      </c>
      <c r="CJ32" s="975">
        <f t="shared" si="11"/>
        <v>1372242051.072</v>
      </c>
      <c r="CK32" s="691">
        <f t="shared" si="13"/>
        <v>1394924787.3240538</v>
      </c>
      <c r="CL32" s="183">
        <f t="shared" si="9"/>
        <v>0</v>
      </c>
      <c r="CM32" s="949">
        <f>CM31+1</f>
        <v>2025</v>
      </c>
    </row>
    <row r="33" spans="1:91" x14ac:dyDescent="0.3">
      <c r="I33" s="690"/>
      <c r="J33" s="18"/>
      <c r="K33" s="690"/>
      <c r="BC33" s="122" t="s">
        <v>307</v>
      </c>
      <c r="BD33" s="183">
        <f>BD29+BD5</f>
        <v>161482711287.92535</v>
      </c>
      <c r="BG33" s="248"/>
      <c r="BI33" s="181"/>
      <c r="BM33" s="473"/>
      <c r="BR33" s="332" t="s">
        <v>989</v>
      </c>
      <c r="BS33" s="953">
        <f t="shared" si="2"/>
        <v>2026</v>
      </c>
      <c r="BT33" s="691">
        <f t="shared" si="3"/>
        <v>96702121808132.953</v>
      </c>
      <c r="BU33" s="894">
        <f t="shared" si="4"/>
        <v>2.5000000000000001E-2</v>
      </c>
      <c r="BV33" s="691">
        <f t="shared" si="5"/>
        <v>2417553045203.3237</v>
      </c>
      <c r="BX33" s="332"/>
      <c r="BY33" s="953">
        <f t="shared" si="6"/>
        <v>2026</v>
      </c>
      <c r="BZ33" s="691">
        <f>BZ20</f>
        <v>10737418.24</v>
      </c>
      <c r="CA33" s="987">
        <v>64</v>
      </c>
      <c r="CB33" s="875">
        <f t="shared" si="0"/>
        <v>687194767.36000001</v>
      </c>
      <c r="CC33" s="977"/>
      <c r="CD33" s="977"/>
      <c r="CE33" s="691">
        <f t="shared" si="1"/>
        <v>0</v>
      </c>
      <c r="CG33" s="691">
        <f t="shared" si="7"/>
        <v>0</v>
      </c>
      <c r="CH33" s="691">
        <f t="shared" si="8"/>
        <v>10977936408.576</v>
      </c>
      <c r="CI33" s="894">
        <f>CI32</f>
        <v>0.125</v>
      </c>
      <c r="CJ33" s="975">
        <f t="shared" si="11"/>
        <v>1372242051.072</v>
      </c>
      <c r="CK33" s="691">
        <f t="shared" si="13"/>
        <v>1394924787.3240538</v>
      </c>
      <c r="CL33" s="183">
        <f t="shared" si="9"/>
        <v>0</v>
      </c>
      <c r="CM33" s="949">
        <f t="shared" si="10"/>
        <v>2026</v>
      </c>
    </row>
    <row r="34" spans="1:91" x14ac:dyDescent="0.3">
      <c r="A34" s="690"/>
      <c r="B34" s="690"/>
      <c r="C34" s="900" t="s">
        <v>1036</v>
      </c>
      <c r="D34" s="901" t="s">
        <v>1287</v>
      </c>
      <c r="E34" s="4"/>
      <c r="F34" s="4"/>
      <c r="G34" s="5"/>
      <c r="BC34" s="1150" t="s">
        <v>310</v>
      </c>
      <c r="BD34" s="184">
        <f>BD33/BD32</f>
        <v>9.2830522948813243</v>
      </c>
      <c r="BE34" s="239"/>
      <c r="BF34" s="239" t="s">
        <v>974</v>
      </c>
      <c r="BG34" s="248" t="s">
        <v>1384</v>
      </c>
      <c r="BH34" s="239"/>
      <c r="BI34" s="181"/>
      <c r="BM34" s="473"/>
      <c r="BR34" s="332" t="s">
        <v>989</v>
      </c>
      <c r="BS34" s="953">
        <f t="shared" si="2"/>
        <v>2027</v>
      </c>
      <c r="BT34" s="691">
        <f t="shared" si="3"/>
        <v>99119674853336.281</v>
      </c>
      <c r="BU34" s="894">
        <f t="shared" si="4"/>
        <v>2.5000000000000001E-2</v>
      </c>
      <c r="BV34" s="691">
        <f t="shared" si="5"/>
        <v>2477991871333.4072</v>
      </c>
      <c r="BX34" s="76"/>
      <c r="BY34" s="953">
        <f t="shared" si="6"/>
        <v>2027</v>
      </c>
      <c r="BZ34" s="691">
        <f>BZ20</f>
        <v>10737418.24</v>
      </c>
      <c r="CA34" s="987">
        <v>64</v>
      </c>
      <c r="CB34" s="875">
        <f t="shared" si="0"/>
        <v>687194767.36000001</v>
      </c>
      <c r="CC34" s="977"/>
      <c r="CD34" s="977"/>
      <c r="CE34" s="691">
        <f t="shared" si="1"/>
        <v>0</v>
      </c>
      <c r="CG34" s="691">
        <f t="shared" si="7"/>
        <v>0</v>
      </c>
      <c r="CH34" s="691">
        <f t="shared" si="8"/>
        <v>10977936408.576</v>
      </c>
      <c r="CI34" s="894">
        <f t="shared" ref="CI34:CI55" si="14">CI33</f>
        <v>0.125</v>
      </c>
      <c r="CJ34" s="975">
        <f t="shared" si="11"/>
        <v>1372242051.072</v>
      </c>
      <c r="CK34" s="691">
        <f t="shared" si="13"/>
        <v>1394924787.3240538</v>
      </c>
      <c r="CL34" s="183">
        <f t="shared" si="9"/>
        <v>0</v>
      </c>
      <c r="CM34" s="949">
        <f t="shared" si="10"/>
        <v>2027</v>
      </c>
    </row>
    <row r="35" spans="1:91" x14ac:dyDescent="0.3">
      <c r="A35" s="690"/>
      <c r="B35" s="690"/>
      <c r="C35" s="122" t="s">
        <v>732</v>
      </c>
      <c r="D35" s="287" t="s">
        <v>1288</v>
      </c>
      <c r="E35" s="7" t="s">
        <v>1289</v>
      </c>
      <c r="F35" s="7"/>
      <c r="G35" s="8"/>
      <c r="BB35" s="38"/>
      <c r="BC35" s="1150" t="s">
        <v>785</v>
      </c>
      <c r="BD35" s="472"/>
      <c r="BE35" s="473"/>
      <c r="BF35" s="472"/>
      <c r="BG35" s="472">
        <f>BF35-BD35</f>
        <v>0</v>
      </c>
      <c r="BH35" s="473"/>
      <c r="BI35" s="563"/>
      <c r="BJ35" s="473"/>
      <c r="BK35" s="473"/>
      <c r="BL35" s="473"/>
      <c r="BM35" s="473"/>
      <c r="BN35" s="88"/>
      <c r="BO35" s="88"/>
      <c r="BP35" s="88"/>
      <c r="BQ35" s="88"/>
      <c r="BR35" s="332" t="s">
        <v>989</v>
      </c>
      <c r="BS35" s="953">
        <f t="shared" si="2"/>
        <v>2028</v>
      </c>
      <c r="BT35" s="691">
        <f t="shared" si="3"/>
        <v>101597666724669.69</v>
      </c>
      <c r="BU35" s="894">
        <f t="shared" si="4"/>
        <v>2.5000000000000001E-2</v>
      </c>
      <c r="BV35" s="691">
        <f t="shared" si="5"/>
        <v>2539941668116.7422</v>
      </c>
      <c r="BX35" s="76"/>
      <c r="BY35" s="953">
        <f t="shared" si="6"/>
        <v>2028</v>
      </c>
      <c r="BZ35" s="691">
        <f>BZ20</f>
        <v>10737418.24</v>
      </c>
      <c r="CA35" s="987">
        <v>64</v>
      </c>
      <c r="CB35" s="875">
        <f t="shared" si="0"/>
        <v>687194767.36000001</v>
      </c>
      <c r="CC35" s="977"/>
      <c r="CD35" s="977"/>
      <c r="CE35" s="691">
        <f t="shared" si="1"/>
        <v>0</v>
      </c>
      <c r="CG35" s="691">
        <f t="shared" si="7"/>
        <v>0</v>
      </c>
      <c r="CH35" s="691">
        <f t="shared" si="8"/>
        <v>10977936408.576</v>
      </c>
      <c r="CI35" s="894">
        <f t="shared" si="14"/>
        <v>0.125</v>
      </c>
      <c r="CJ35" s="975">
        <f t="shared" si="11"/>
        <v>1372242051.072</v>
      </c>
      <c r="CK35" s="691">
        <f t="shared" si="13"/>
        <v>1394924787.3240538</v>
      </c>
      <c r="CL35" s="183">
        <f t="shared" si="9"/>
        <v>0</v>
      </c>
      <c r="CM35" s="949">
        <f t="shared" si="10"/>
        <v>2028</v>
      </c>
    </row>
    <row r="36" spans="1:91" x14ac:dyDescent="0.3">
      <c r="A36" s="690"/>
      <c r="B36" s="690"/>
      <c r="C36" s="1151">
        <v>32</v>
      </c>
      <c r="D36" s="411">
        <f>'POP Dimensions'!J15</f>
        <v>21474836.48</v>
      </c>
      <c r="E36" s="411">
        <f>C36*D36</f>
        <v>687194767.36000001</v>
      </c>
      <c r="F36" s="896"/>
      <c r="G36" s="902" t="s">
        <v>732</v>
      </c>
      <c r="BB36" s="38"/>
      <c r="BC36" s="1206" t="s">
        <v>1445</v>
      </c>
      <c r="BD36" s="1207">
        <f>'POP Dimensions'!L16*150%</f>
        <v>515396075.51999998</v>
      </c>
      <c r="BE36" s="88"/>
      <c r="BF36" s="511"/>
      <c r="BG36" s="511"/>
      <c r="BH36" s="88"/>
      <c r="BI36" s="181"/>
      <c r="BJ36" s="88"/>
      <c r="BK36" s="88"/>
      <c r="BL36" s="616">
        <f>BI47*BN47</f>
        <v>920424716793.65088</v>
      </c>
      <c r="BM36" s="617" t="s">
        <v>778</v>
      </c>
      <c r="BN36" s="88"/>
      <c r="BO36" s="88"/>
      <c r="BP36" s="88"/>
      <c r="BQ36" s="88"/>
      <c r="BR36" s="332" t="s">
        <v>989</v>
      </c>
      <c r="BS36" s="953">
        <f>BS35+1</f>
        <v>2029</v>
      </c>
      <c r="BT36" s="691">
        <f>BT35+BV35</f>
        <v>104137608392786.44</v>
      </c>
      <c r="BU36" s="894">
        <f>BU35</f>
        <v>2.5000000000000001E-2</v>
      </c>
      <c r="BV36" s="691">
        <f>BT36*BU36</f>
        <v>2603440209819.6611</v>
      </c>
      <c r="BX36" s="76"/>
      <c r="BY36" s="953">
        <f>BY35+1</f>
        <v>2029</v>
      </c>
      <c r="BZ36" s="691">
        <f>BZ20</f>
        <v>10737418.24</v>
      </c>
      <c r="CA36" s="987">
        <v>64</v>
      </c>
      <c r="CB36" s="875">
        <f>CA36*BZ36</f>
        <v>687194767.36000001</v>
      </c>
      <c r="CC36" s="977"/>
      <c r="CD36" s="977"/>
      <c r="CE36" s="691">
        <f>CB36*CC36</f>
        <v>0</v>
      </c>
      <c r="CG36" s="691">
        <f t="shared" si="7"/>
        <v>0</v>
      </c>
      <c r="CH36" s="691">
        <f>CG36+CH35-CL36</f>
        <v>10977936408.576</v>
      </c>
      <c r="CI36" s="894">
        <f t="shared" si="14"/>
        <v>0.125</v>
      </c>
      <c r="CJ36" s="975">
        <f t="shared" si="11"/>
        <v>1372242051.072</v>
      </c>
      <c r="CK36" s="691">
        <f t="shared" si="13"/>
        <v>1394924787.3240538</v>
      </c>
      <c r="CL36" s="183">
        <f>CB36*CD36</f>
        <v>0</v>
      </c>
      <c r="CM36" s="949">
        <f t="shared" si="10"/>
        <v>2029</v>
      </c>
    </row>
    <row r="37" spans="1:91" x14ac:dyDescent="0.3">
      <c r="A37" s="690"/>
      <c r="B37" s="690"/>
      <c r="C37" s="1152">
        <f>C36*2</f>
        <v>64</v>
      </c>
      <c r="D37" s="897">
        <f>D36</f>
        <v>21474836.48</v>
      </c>
      <c r="E37" s="897">
        <f t="shared" ref="E37:E43" si="15">C37*D37</f>
        <v>1374389534.72</v>
      </c>
      <c r="F37" s="874"/>
      <c r="G37" s="903" t="s">
        <v>732</v>
      </c>
      <c r="BB37" s="38"/>
      <c r="BC37" s="1206" t="s">
        <v>1444</v>
      </c>
      <c r="BD37" s="1207">
        <f>'POP Dimensions'!H17*150%</f>
        <v>1030792151.04</v>
      </c>
      <c r="BE37" s="88"/>
      <c r="BF37" s="511"/>
      <c r="BG37" s="511"/>
      <c r="BH37" s="88"/>
      <c r="BI37" s="181"/>
      <c r="BJ37" s="88"/>
      <c r="BK37" s="88"/>
      <c r="BL37" s="616"/>
      <c r="BM37" s="617"/>
      <c r="BN37" s="88"/>
      <c r="BO37" s="88"/>
      <c r="BP37" s="88"/>
      <c r="BQ37" s="88"/>
      <c r="BR37" s="332" t="s">
        <v>989</v>
      </c>
      <c r="BS37" s="953">
        <f>BS36+1</f>
        <v>2030</v>
      </c>
      <c r="BT37" s="691">
        <f>BT36+BV36</f>
        <v>106741048602606.09</v>
      </c>
      <c r="BU37" s="894">
        <f>BU36</f>
        <v>2.5000000000000001E-2</v>
      </c>
      <c r="BV37" s="691">
        <f>BT37*BU37</f>
        <v>2668526215065.1523</v>
      </c>
      <c r="BX37" s="76"/>
      <c r="BY37" s="953">
        <f>BY36+1</f>
        <v>2030</v>
      </c>
      <c r="BZ37" s="691">
        <f>BZ20</f>
        <v>10737418.24</v>
      </c>
      <c r="CA37" s="987">
        <v>64</v>
      </c>
      <c r="CB37" s="875">
        <f t="shared" ref="CB37:CB55" si="16">CA37*BZ37</f>
        <v>687194767.36000001</v>
      </c>
      <c r="CC37" s="977"/>
      <c r="CD37" s="977"/>
      <c r="CE37" s="691">
        <f t="shared" ref="CE37:CE55" si="17">CB37*CC37</f>
        <v>0</v>
      </c>
      <c r="CG37" s="691">
        <f t="shared" si="7"/>
        <v>0</v>
      </c>
      <c r="CH37" s="691">
        <f>CG37+CH36-CL37</f>
        <v>10977936408.576</v>
      </c>
      <c r="CI37" s="894">
        <f t="shared" si="14"/>
        <v>0.125</v>
      </c>
      <c r="CJ37" s="975">
        <f t="shared" si="11"/>
        <v>1372242051.072</v>
      </c>
      <c r="CK37" s="691">
        <f t="shared" si="13"/>
        <v>1394924787.3240538</v>
      </c>
      <c r="CL37" s="183">
        <f>CB37*CD37</f>
        <v>0</v>
      </c>
      <c r="CM37" s="949">
        <f t="shared" si="10"/>
        <v>2030</v>
      </c>
    </row>
    <row r="38" spans="1:91" x14ac:dyDescent="0.3">
      <c r="A38" s="690"/>
      <c r="B38" s="690"/>
      <c r="C38" s="1121">
        <f>C37*2</f>
        <v>128</v>
      </c>
      <c r="D38" s="875">
        <f t="shared" ref="D38:D43" si="18">D37</f>
        <v>21474836.48</v>
      </c>
      <c r="E38" s="875">
        <f t="shared" si="15"/>
        <v>2748779069.4400001</v>
      </c>
      <c r="F38" s="410"/>
      <c r="G38" s="126" t="s">
        <v>732</v>
      </c>
      <c r="AY38" s="1162" t="s">
        <v>1435</v>
      </c>
      <c r="AZ38" s="1160"/>
      <c r="BA38" s="1160"/>
      <c r="BB38" s="1160"/>
      <c r="BC38" s="1161" t="s">
        <v>1284</v>
      </c>
      <c r="BD38" s="1164">
        <f>'POP Dimensions'!L16*150%</f>
        <v>515396075.51999998</v>
      </c>
      <c r="BE38" s="88"/>
      <c r="BF38" s="88"/>
      <c r="BG38" s="253"/>
      <c r="BH38" s="88"/>
      <c r="BI38" s="181"/>
      <c r="BR38" s="332" t="s">
        <v>989</v>
      </c>
      <c r="BS38" s="953">
        <f>BS37+1</f>
        <v>2031</v>
      </c>
      <c r="BT38" s="691">
        <f>BT37+BV37</f>
        <v>109409574817671.25</v>
      </c>
      <c r="BU38" s="894">
        <f>BU37</f>
        <v>2.5000000000000001E-2</v>
      </c>
      <c r="BV38" s="691">
        <f>BT38*BU38</f>
        <v>2735239370441.7813</v>
      </c>
      <c r="BX38" s="76"/>
      <c r="BY38" s="953">
        <f t="shared" ref="BY38:BY55" si="19">BY37+1</f>
        <v>2031</v>
      </c>
      <c r="BZ38" s="691">
        <f>BZ20</f>
        <v>10737418.24</v>
      </c>
      <c r="CA38" s="987">
        <v>64</v>
      </c>
      <c r="CB38" s="875">
        <f t="shared" si="16"/>
        <v>687194767.36000001</v>
      </c>
      <c r="CC38" s="977"/>
      <c r="CD38" s="977"/>
      <c r="CE38" s="691">
        <f t="shared" si="17"/>
        <v>0</v>
      </c>
      <c r="CG38" s="691">
        <f t="shared" si="7"/>
        <v>0</v>
      </c>
      <c r="CH38" s="691">
        <f t="shared" ref="CH38:CH55" si="20">CG38+CH37-CL38</f>
        <v>10977936408.576</v>
      </c>
      <c r="CI38" s="894">
        <f t="shared" si="14"/>
        <v>0.125</v>
      </c>
      <c r="CJ38" s="975">
        <f t="shared" si="11"/>
        <v>1372242051.072</v>
      </c>
      <c r="CK38" s="691">
        <f t="shared" si="13"/>
        <v>1394924787.3240538</v>
      </c>
      <c r="CL38" s="183">
        <f t="shared" ref="CL38:CL55" si="21">CB38*CD38</f>
        <v>0</v>
      </c>
      <c r="CM38" s="949">
        <f t="shared" si="10"/>
        <v>2031</v>
      </c>
    </row>
    <row r="39" spans="1:91" x14ac:dyDescent="0.3">
      <c r="A39" s="690"/>
      <c r="B39" s="690"/>
      <c r="C39" s="1151">
        <f>C38*2</f>
        <v>256</v>
      </c>
      <c r="D39" s="411">
        <f t="shared" si="18"/>
        <v>21474836.48</v>
      </c>
      <c r="E39" s="411">
        <f t="shared" si="15"/>
        <v>5497558138.8800001</v>
      </c>
      <c r="F39" s="896"/>
      <c r="G39" s="902" t="s">
        <v>732</v>
      </c>
      <c r="AY39" s="1163" t="s">
        <v>1436</v>
      </c>
      <c r="BC39" s="1155" t="s">
        <v>1279</v>
      </c>
      <c r="BD39" s="1164">
        <v>-5400000000</v>
      </c>
      <c r="BE39" s="208">
        <v>0.05</v>
      </c>
      <c r="BF39" s="76">
        <f>BD49*BE39</f>
        <v>5342090313.4715033</v>
      </c>
      <c r="BG39" s="253" t="s">
        <v>1465</v>
      </c>
      <c r="BH39" s="88"/>
      <c r="BI39" s="181"/>
      <c r="BL39" s="616"/>
      <c r="BM39" s="617"/>
      <c r="BR39" s="332" t="s">
        <v>989</v>
      </c>
      <c r="BS39" s="953">
        <f>BS38+1</f>
        <v>2032</v>
      </c>
      <c r="BT39" s="691">
        <f>BT38+BV38</f>
        <v>112144814188113.03</v>
      </c>
      <c r="BU39" s="894">
        <f>BU38</f>
        <v>2.5000000000000001E-2</v>
      </c>
      <c r="BV39" s="691">
        <f>BT39*BU39</f>
        <v>2803620354702.8262</v>
      </c>
      <c r="BW39" s="895" t="s">
        <v>1281</v>
      </c>
      <c r="BX39" s="76"/>
      <c r="BY39" s="953">
        <f t="shared" si="19"/>
        <v>2032</v>
      </c>
      <c r="BZ39" s="691">
        <f t="shared" ref="BZ39:BZ55" si="22">BZ29</f>
        <v>10737418.24</v>
      </c>
      <c r="CA39" s="987">
        <v>64</v>
      </c>
      <c r="CB39" s="875">
        <f t="shared" si="16"/>
        <v>687194767.36000001</v>
      </c>
      <c r="CC39" s="977"/>
      <c r="CD39" s="977"/>
      <c r="CE39" s="691">
        <f t="shared" si="17"/>
        <v>0</v>
      </c>
      <c r="CG39" s="691">
        <f t="shared" si="7"/>
        <v>0</v>
      </c>
      <c r="CH39" s="691">
        <f t="shared" si="20"/>
        <v>10977936408.576</v>
      </c>
      <c r="CI39" s="894">
        <f t="shared" si="14"/>
        <v>0.125</v>
      </c>
      <c r="CJ39" s="975">
        <f t="shared" si="11"/>
        <v>1372242051.072</v>
      </c>
      <c r="CK39" s="691">
        <f t="shared" si="13"/>
        <v>1394924787.3240538</v>
      </c>
      <c r="CL39" s="183">
        <f t="shared" si="21"/>
        <v>0</v>
      </c>
      <c r="CM39" s="949">
        <f t="shared" si="10"/>
        <v>2032</v>
      </c>
    </row>
    <row r="40" spans="1:91" x14ac:dyDescent="0.3">
      <c r="A40" s="690"/>
      <c r="B40" s="690"/>
      <c r="C40" s="1152">
        <f t="shared" ref="C40:C43" si="23">C39*2</f>
        <v>512</v>
      </c>
      <c r="D40" s="897">
        <f t="shared" si="18"/>
        <v>21474836.48</v>
      </c>
      <c r="E40" s="897">
        <f t="shared" si="15"/>
        <v>10995116277.76</v>
      </c>
      <c r="F40" s="874"/>
      <c r="G40" s="903" t="s">
        <v>732</v>
      </c>
      <c r="BC40" s="1156" t="s">
        <v>1277</v>
      </c>
      <c r="BD40" s="1164">
        <f>'POP Dimensions'!J17</f>
        <v>1374389534.72</v>
      </c>
      <c r="BE40" s="88"/>
      <c r="BF40" s="253"/>
      <c r="BG40" s="253"/>
      <c r="BH40" s="253"/>
      <c r="BI40" s="181"/>
      <c r="BL40" s="616"/>
      <c r="BM40" s="617"/>
      <c r="BR40" s="332" t="s">
        <v>989</v>
      </c>
      <c r="BS40" s="953">
        <f t="shared" ref="BS40:BS55" si="24">BS39+1</f>
        <v>2033</v>
      </c>
      <c r="BT40" s="691">
        <f t="shared" ref="BT40:BT55" si="25">BT39+BV39</f>
        <v>114948434542815.86</v>
      </c>
      <c r="BU40" s="894">
        <f t="shared" ref="BU40:BU55" si="26">BU39</f>
        <v>2.5000000000000001E-2</v>
      </c>
      <c r="BV40" s="691">
        <f t="shared" ref="BV40:BV55" si="27">BT40*BU40</f>
        <v>2873710863570.3965</v>
      </c>
      <c r="BX40" s="76"/>
      <c r="BY40" s="953">
        <f t="shared" si="19"/>
        <v>2033</v>
      </c>
      <c r="BZ40" s="691">
        <f t="shared" si="22"/>
        <v>10737418.24</v>
      </c>
      <c r="CA40" s="987">
        <v>64</v>
      </c>
      <c r="CB40" s="875">
        <f t="shared" si="16"/>
        <v>687194767.36000001</v>
      </c>
      <c r="CC40" s="969"/>
      <c r="CD40" s="977"/>
      <c r="CE40" s="691">
        <f t="shared" si="17"/>
        <v>0</v>
      </c>
      <c r="CG40" s="691">
        <f t="shared" si="7"/>
        <v>0</v>
      </c>
      <c r="CH40" s="691">
        <f t="shared" si="20"/>
        <v>10977936408.576</v>
      </c>
      <c r="CI40" s="894">
        <f t="shared" si="14"/>
        <v>0.125</v>
      </c>
      <c r="CJ40" s="975">
        <f t="shared" si="11"/>
        <v>1372242051.072</v>
      </c>
      <c r="CK40" s="691">
        <f t="shared" si="13"/>
        <v>1394924787.3240538</v>
      </c>
      <c r="CL40" s="183">
        <f t="shared" si="21"/>
        <v>0</v>
      </c>
      <c r="CM40" s="949">
        <f t="shared" si="10"/>
        <v>2033</v>
      </c>
    </row>
    <row r="41" spans="1:91" x14ac:dyDescent="0.3">
      <c r="A41" s="690"/>
      <c r="B41" s="690"/>
      <c r="C41" s="1121">
        <f t="shared" si="23"/>
        <v>1024</v>
      </c>
      <c r="D41" s="875">
        <f t="shared" si="18"/>
        <v>21474836.48</v>
      </c>
      <c r="E41" s="875">
        <f t="shared" si="15"/>
        <v>21990232555.52</v>
      </c>
      <c r="F41" s="410"/>
      <c r="G41" s="126" t="s">
        <v>732</v>
      </c>
      <c r="BA41" s="173" t="s">
        <v>1433</v>
      </c>
      <c r="BB41" s="1158"/>
      <c r="BC41" s="1159" t="s">
        <v>1285</v>
      </c>
      <c r="BD41" s="719">
        <f>'POP Dimensions'!H17*125%</f>
        <v>858993459.20000005</v>
      </c>
      <c r="BE41" s="88"/>
      <c r="BF41" s="253"/>
      <c r="BG41" s="253"/>
      <c r="BH41" s="1215"/>
      <c r="BI41" s="181"/>
      <c r="BL41" s="12" t="s">
        <v>979</v>
      </c>
      <c r="BR41" s="332" t="s">
        <v>989</v>
      </c>
      <c r="BS41" s="953">
        <f t="shared" si="24"/>
        <v>2034</v>
      </c>
      <c r="BT41" s="691">
        <f t="shared" si="25"/>
        <v>117822145406386.25</v>
      </c>
      <c r="BU41" s="894">
        <f t="shared" si="26"/>
        <v>2.5000000000000001E-2</v>
      </c>
      <c r="BV41" s="691">
        <f t="shared" si="27"/>
        <v>2945553635159.6563</v>
      </c>
      <c r="BX41" s="76"/>
      <c r="BY41" s="953">
        <f t="shared" si="19"/>
        <v>2034</v>
      </c>
      <c r="BZ41" s="691">
        <f t="shared" si="22"/>
        <v>10737418.24</v>
      </c>
      <c r="CA41" s="987">
        <v>64</v>
      </c>
      <c r="CB41" s="875">
        <f t="shared" si="16"/>
        <v>687194767.36000001</v>
      </c>
      <c r="CC41" s="969"/>
      <c r="CD41" s="977"/>
      <c r="CE41" s="691">
        <f t="shared" si="17"/>
        <v>0</v>
      </c>
      <c r="CG41" s="691">
        <f t="shared" si="7"/>
        <v>0</v>
      </c>
      <c r="CH41" s="691">
        <f t="shared" si="20"/>
        <v>10977936408.576</v>
      </c>
      <c r="CI41" s="894">
        <f t="shared" si="14"/>
        <v>0.125</v>
      </c>
      <c r="CJ41" s="975">
        <f t="shared" si="11"/>
        <v>1372242051.072</v>
      </c>
      <c r="CK41" s="691">
        <f t="shared" si="13"/>
        <v>1394924787.3240538</v>
      </c>
      <c r="CL41" s="183">
        <f t="shared" si="21"/>
        <v>0</v>
      </c>
      <c r="CM41" s="949">
        <f t="shared" si="10"/>
        <v>2034</v>
      </c>
    </row>
    <row r="42" spans="1:91" x14ac:dyDescent="0.3">
      <c r="A42" s="690"/>
      <c r="B42" s="690"/>
      <c r="C42" s="1153">
        <f t="shared" si="23"/>
        <v>2048</v>
      </c>
      <c r="D42" s="899">
        <f t="shared" si="18"/>
        <v>21474836.48</v>
      </c>
      <c r="E42" s="899">
        <f t="shared" si="15"/>
        <v>43980465111.040001</v>
      </c>
      <c r="F42" s="898"/>
      <c r="G42" s="905" t="s">
        <v>732</v>
      </c>
      <c r="BA42" s="618" t="s">
        <v>1434</v>
      </c>
      <c r="BC42" s="1155" t="s">
        <v>1278</v>
      </c>
      <c r="BD42" s="1164">
        <f>'Network Cities'!S37*3</f>
        <v>8831250001.5</v>
      </c>
      <c r="BE42" s="88"/>
      <c r="BF42" s="253"/>
      <c r="BG42" s="253"/>
      <c r="BH42" s="1215"/>
      <c r="BI42" s="181"/>
      <c r="BL42" s="12"/>
      <c r="BR42" s="332" t="s">
        <v>989</v>
      </c>
      <c r="BS42" s="953">
        <f t="shared" si="24"/>
        <v>2035</v>
      </c>
      <c r="BT42" s="691">
        <f t="shared" si="25"/>
        <v>120767699041545.91</v>
      </c>
      <c r="BU42" s="894">
        <f t="shared" si="26"/>
        <v>2.5000000000000001E-2</v>
      </c>
      <c r="BV42" s="691">
        <f t="shared" si="27"/>
        <v>3019192476038.6479</v>
      </c>
      <c r="BX42" s="76"/>
      <c r="BY42" s="953">
        <f t="shared" si="19"/>
        <v>2035</v>
      </c>
      <c r="BZ42" s="691">
        <f t="shared" si="22"/>
        <v>10737418.24</v>
      </c>
      <c r="CA42" s="987">
        <v>64</v>
      </c>
      <c r="CB42" s="875">
        <f t="shared" si="16"/>
        <v>687194767.36000001</v>
      </c>
      <c r="CC42" s="969"/>
      <c r="CD42" s="977"/>
      <c r="CE42" s="691">
        <f t="shared" si="17"/>
        <v>0</v>
      </c>
      <c r="CG42" s="691">
        <f t="shared" si="7"/>
        <v>0</v>
      </c>
      <c r="CH42" s="691">
        <f t="shared" si="20"/>
        <v>10977936408.576</v>
      </c>
      <c r="CI42" s="894">
        <f t="shared" si="14"/>
        <v>0.125</v>
      </c>
      <c r="CJ42" s="975">
        <f t="shared" si="11"/>
        <v>1372242051.072</v>
      </c>
      <c r="CK42" s="691">
        <f t="shared" si="13"/>
        <v>1394924787.3240538</v>
      </c>
      <c r="CL42" s="183">
        <f t="shared" si="21"/>
        <v>0</v>
      </c>
      <c r="CM42" s="949">
        <f t="shared" si="10"/>
        <v>2035</v>
      </c>
    </row>
    <row r="43" spans="1:91" x14ac:dyDescent="0.3">
      <c r="A43" s="690"/>
      <c r="B43" s="690"/>
      <c r="C43" s="1154">
        <f t="shared" si="23"/>
        <v>4096</v>
      </c>
      <c r="D43" s="906">
        <f t="shared" si="18"/>
        <v>21474836.48</v>
      </c>
      <c r="E43" s="906">
        <f t="shared" si="15"/>
        <v>87960930222.080002</v>
      </c>
      <c r="F43" s="907"/>
      <c r="G43" s="908" t="s">
        <v>732</v>
      </c>
      <c r="BC43" s="1155" t="s">
        <v>1161</v>
      </c>
      <c r="BD43" s="1164">
        <f>'POP Dimensions'!H17*200%</f>
        <v>1374389534.72</v>
      </c>
      <c r="BE43" s="88"/>
      <c r="BF43" s="600"/>
      <c r="BG43" s="253"/>
      <c r="BH43" s="253"/>
      <c r="BI43" s="181"/>
      <c r="BL43" s="12"/>
      <c r="BR43" s="332" t="s">
        <v>989</v>
      </c>
      <c r="BS43" s="953">
        <f t="shared" si="24"/>
        <v>2036</v>
      </c>
      <c r="BT43" s="691">
        <f t="shared" si="25"/>
        <v>123786891517584.55</v>
      </c>
      <c r="BU43" s="894">
        <f t="shared" si="26"/>
        <v>2.5000000000000001E-2</v>
      </c>
      <c r="BV43" s="691">
        <f t="shared" si="27"/>
        <v>3094672287939.6138</v>
      </c>
      <c r="BX43" s="76"/>
      <c r="BY43" s="953">
        <f t="shared" si="19"/>
        <v>2036</v>
      </c>
      <c r="BZ43" s="691">
        <f t="shared" si="22"/>
        <v>10737418.24</v>
      </c>
      <c r="CA43" s="987">
        <v>64</v>
      </c>
      <c r="CB43" s="875">
        <f t="shared" si="16"/>
        <v>687194767.36000001</v>
      </c>
      <c r="CC43" s="969"/>
      <c r="CD43" s="977"/>
      <c r="CE43" s="691">
        <f t="shared" si="17"/>
        <v>0</v>
      </c>
      <c r="CG43" s="691">
        <f t="shared" si="7"/>
        <v>0</v>
      </c>
      <c r="CH43" s="691">
        <f t="shared" si="20"/>
        <v>10977936408.576</v>
      </c>
      <c r="CI43" s="894">
        <f t="shared" si="14"/>
        <v>0.125</v>
      </c>
      <c r="CJ43" s="975">
        <f t="shared" si="11"/>
        <v>1372242051.072</v>
      </c>
      <c r="CK43" s="691">
        <f t="shared" si="13"/>
        <v>1394924787.3240538</v>
      </c>
      <c r="CL43" s="183">
        <f t="shared" si="21"/>
        <v>0</v>
      </c>
      <c r="CM43" s="949">
        <f t="shared" si="10"/>
        <v>2036</v>
      </c>
    </row>
    <row r="44" spans="1:91" x14ac:dyDescent="0.3">
      <c r="A44" s="690"/>
      <c r="B44" s="690"/>
      <c r="BA44" s="1162" t="s">
        <v>1433</v>
      </c>
      <c r="BB44" s="1160"/>
      <c r="BC44" s="1161" t="s">
        <v>1249</v>
      </c>
      <c r="BD44" s="1164">
        <f>'POP Dimensions'!J17*150%</f>
        <v>2061584302.0799999</v>
      </c>
      <c r="BE44" s="88"/>
      <c r="BF44" s="253"/>
      <c r="BG44" s="254"/>
      <c r="BH44" s="253"/>
      <c r="BI44" s="181"/>
      <c r="BL44" s="12"/>
      <c r="BR44" s="332" t="s">
        <v>989</v>
      </c>
      <c r="BS44" s="953">
        <f t="shared" si="24"/>
        <v>2037</v>
      </c>
      <c r="BT44" s="691">
        <f t="shared" si="25"/>
        <v>126881563805524.16</v>
      </c>
      <c r="BU44" s="894">
        <f t="shared" si="26"/>
        <v>2.5000000000000001E-2</v>
      </c>
      <c r="BV44" s="691">
        <f t="shared" si="27"/>
        <v>3172039095138.104</v>
      </c>
      <c r="BX44" s="76"/>
      <c r="BY44" s="953">
        <f t="shared" si="19"/>
        <v>2037</v>
      </c>
      <c r="BZ44" s="691">
        <f t="shared" si="22"/>
        <v>10737418.24</v>
      </c>
      <c r="CA44" s="987">
        <v>64</v>
      </c>
      <c r="CB44" s="875">
        <f t="shared" si="16"/>
        <v>687194767.36000001</v>
      </c>
      <c r="CC44" s="969"/>
      <c r="CD44" s="977"/>
      <c r="CE44" s="691">
        <f t="shared" si="17"/>
        <v>0</v>
      </c>
      <c r="CG44" s="691">
        <f t="shared" si="7"/>
        <v>0</v>
      </c>
      <c r="CH44" s="691">
        <f t="shared" si="20"/>
        <v>10977936408.576</v>
      </c>
      <c r="CI44" s="894">
        <f t="shared" si="14"/>
        <v>0.125</v>
      </c>
      <c r="CJ44" s="975">
        <f t="shared" si="11"/>
        <v>1372242051.072</v>
      </c>
      <c r="CK44" s="691">
        <f t="shared" si="13"/>
        <v>1394924787.3240538</v>
      </c>
      <c r="CL44" s="183">
        <f t="shared" si="21"/>
        <v>0</v>
      </c>
      <c r="CM44" s="949">
        <f t="shared" si="10"/>
        <v>2037</v>
      </c>
    </row>
    <row r="45" spans="1:91" x14ac:dyDescent="0.3">
      <c r="A45" s="690"/>
      <c r="B45" s="690"/>
      <c r="BA45" s="1163" t="s">
        <v>1437</v>
      </c>
      <c r="BC45" s="1157" t="s">
        <v>148</v>
      </c>
      <c r="BD45" s="1164">
        <v>0</v>
      </c>
      <c r="BE45" s="88"/>
      <c r="BF45" s="254"/>
      <c r="BG45" s="254"/>
      <c r="BH45" s="253"/>
      <c r="BI45" s="181"/>
      <c r="BL45" s="12"/>
      <c r="BR45" s="332" t="s">
        <v>989</v>
      </c>
      <c r="BS45" s="953">
        <f t="shared" si="24"/>
        <v>2038</v>
      </c>
      <c r="BT45" s="691">
        <f t="shared" si="25"/>
        <v>130053602900662.27</v>
      </c>
      <c r="BU45" s="894">
        <f t="shared" si="26"/>
        <v>2.5000000000000001E-2</v>
      </c>
      <c r="BV45" s="691">
        <f t="shared" si="27"/>
        <v>3251340072516.5566</v>
      </c>
      <c r="BX45" s="76"/>
      <c r="BY45" s="953">
        <f t="shared" si="19"/>
        <v>2038</v>
      </c>
      <c r="BZ45" s="691">
        <f t="shared" si="22"/>
        <v>10737418.24</v>
      </c>
      <c r="CA45" s="987">
        <v>64</v>
      </c>
      <c r="CB45" s="875">
        <f t="shared" si="16"/>
        <v>687194767.36000001</v>
      </c>
      <c r="CC45" s="969"/>
      <c r="CD45" s="977"/>
      <c r="CE45" s="691">
        <f t="shared" si="17"/>
        <v>0</v>
      </c>
      <c r="CG45" s="691">
        <f t="shared" si="7"/>
        <v>0</v>
      </c>
      <c r="CH45" s="691">
        <f t="shared" si="20"/>
        <v>10977936408.576</v>
      </c>
      <c r="CI45" s="894">
        <f t="shared" si="14"/>
        <v>0.125</v>
      </c>
      <c r="CJ45" s="975">
        <f t="shared" si="11"/>
        <v>1372242051.072</v>
      </c>
      <c r="CK45" s="691">
        <f t="shared" si="13"/>
        <v>1394924787.3240538</v>
      </c>
      <c r="CL45" s="183">
        <f t="shared" si="21"/>
        <v>0</v>
      </c>
      <c r="CM45" s="949">
        <f t="shared" si="10"/>
        <v>2038</v>
      </c>
    </row>
    <row r="46" spans="1:91" x14ac:dyDescent="0.3">
      <c r="A46" s="690"/>
      <c r="B46" s="690"/>
      <c r="BC46" s="1150" t="s">
        <v>948</v>
      </c>
      <c r="BD46" s="1216">
        <f>'2030 - ŔÉŚ 7. É-94 Śpin-12'!BJ29</f>
        <v>6233241548.6513739</v>
      </c>
      <c r="BE46" s="88"/>
      <c r="BF46" s="253"/>
      <c r="BG46" s="253"/>
      <c r="BH46" s="253"/>
      <c r="BI46" s="181" t="s">
        <v>805</v>
      </c>
      <c r="BJ46" s="1" t="s">
        <v>998</v>
      </c>
      <c r="BL46" s="19">
        <v>0.01</v>
      </c>
      <c r="BR46" s="332" t="s">
        <v>989</v>
      </c>
      <c r="BS46" s="953">
        <f t="shared" si="24"/>
        <v>2039</v>
      </c>
      <c r="BT46" s="691">
        <f t="shared" si="25"/>
        <v>133304942973178.83</v>
      </c>
      <c r="BU46" s="894">
        <f t="shared" si="26"/>
        <v>2.5000000000000001E-2</v>
      </c>
      <c r="BV46" s="691">
        <f t="shared" si="27"/>
        <v>3332623574329.4707</v>
      </c>
      <c r="BX46" s="76"/>
      <c r="BY46" s="953">
        <f t="shared" si="19"/>
        <v>2039</v>
      </c>
      <c r="BZ46" s="691">
        <f t="shared" si="22"/>
        <v>10737418.24</v>
      </c>
      <c r="CA46" s="987">
        <v>64</v>
      </c>
      <c r="CB46" s="875">
        <f t="shared" si="16"/>
        <v>687194767.36000001</v>
      </c>
      <c r="CC46" s="969"/>
      <c r="CD46" s="977"/>
      <c r="CE46" s="691">
        <f t="shared" si="17"/>
        <v>0</v>
      </c>
      <c r="CG46" s="691">
        <f t="shared" si="7"/>
        <v>0</v>
      </c>
      <c r="CH46" s="691">
        <f t="shared" si="20"/>
        <v>10977936408.576</v>
      </c>
      <c r="CI46" s="894">
        <f t="shared" si="14"/>
        <v>0.125</v>
      </c>
      <c r="CJ46" s="975">
        <f t="shared" si="11"/>
        <v>1372242051.072</v>
      </c>
      <c r="CK46" s="691">
        <f t="shared" si="13"/>
        <v>1394924787.3240538</v>
      </c>
      <c r="CL46" s="183">
        <f t="shared" si="21"/>
        <v>0</v>
      </c>
      <c r="CM46" s="949">
        <f t="shared" si="10"/>
        <v>2039</v>
      </c>
    </row>
    <row r="47" spans="1:91" x14ac:dyDescent="0.3">
      <c r="K47" s="690"/>
      <c r="BC47" s="122" t="s">
        <v>1385</v>
      </c>
      <c r="BD47" s="183">
        <f>SUM(BD35:BD46)</f>
        <v>17395432682.951374</v>
      </c>
      <c r="BE47" s="251"/>
      <c r="BF47" s="76" t="s">
        <v>805</v>
      </c>
      <c r="BG47" s="691">
        <f>AE82</f>
        <v>6630548568.2489748</v>
      </c>
      <c r="BH47" s="76"/>
      <c r="BI47" s="691">
        <f>BG47</f>
        <v>6630548568.2489748</v>
      </c>
      <c r="BJ47" s="691">
        <f>BT31</f>
        <v>92042471679365.094</v>
      </c>
      <c r="BK47" s="76"/>
      <c r="BL47" s="736">
        <f>BJ47*BL46</f>
        <v>920424716793.651</v>
      </c>
      <c r="BM47" s="76"/>
      <c r="BN47" s="208">
        <f>BL47/BI47</f>
        <v>138.81577177508268</v>
      </c>
      <c r="BO47" s="76"/>
      <c r="BP47" s="76"/>
      <c r="BQ47" s="76"/>
      <c r="BR47" s="332" t="s">
        <v>989</v>
      </c>
      <c r="BS47" s="953">
        <f t="shared" si="24"/>
        <v>2040</v>
      </c>
      <c r="BT47" s="691">
        <f t="shared" si="25"/>
        <v>136637566547508.3</v>
      </c>
      <c r="BU47" s="894">
        <f t="shared" si="26"/>
        <v>2.5000000000000001E-2</v>
      </c>
      <c r="BV47" s="691">
        <f t="shared" si="27"/>
        <v>3415939163687.7075</v>
      </c>
      <c r="BX47" s="76"/>
      <c r="BY47" s="953">
        <f t="shared" si="19"/>
        <v>2040</v>
      </c>
      <c r="BZ47" s="691">
        <f t="shared" si="22"/>
        <v>10737418.24</v>
      </c>
      <c r="CA47" s="987">
        <v>64</v>
      </c>
      <c r="CB47" s="875">
        <f t="shared" si="16"/>
        <v>687194767.36000001</v>
      </c>
      <c r="CC47" s="969"/>
      <c r="CD47" s="977"/>
      <c r="CE47" s="691">
        <f t="shared" si="17"/>
        <v>0</v>
      </c>
      <c r="CG47" s="691">
        <f t="shared" si="7"/>
        <v>0</v>
      </c>
      <c r="CH47" s="691">
        <f t="shared" si="20"/>
        <v>10977936408.576</v>
      </c>
      <c r="CI47" s="894">
        <f t="shared" si="14"/>
        <v>0.125</v>
      </c>
      <c r="CJ47" s="975">
        <f t="shared" si="11"/>
        <v>1372242051.072</v>
      </c>
      <c r="CK47" s="691">
        <f t="shared" si="13"/>
        <v>1394924787.3240538</v>
      </c>
      <c r="CL47" s="183">
        <f t="shared" si="21"/>
        <v>0</v>
      </c>
      <c r="CM47" s="949">
        <f t="shared" si="10"/>
        <v>2040</v>
      </c>
    </row>
    <row r="48" spans="1:91" ht="16.2" thickBot="1" x14ac:dyDescent="0.35">
      <c r="BC48" s="1150" t="s">
        <v>309</v>
      </c>
      <c r="BD48" s="182">
        <f>BD47*BD34</f>
        <v>161482711287.92535</v>
      </c>
      <c r="BH48" s="565" t="s">
        <v>894</v>
      </c>
      <c r="BI48" s="208">
        <f>BI32/BI47</f>
        <v>16.113569664665818</v>
      </c>
      <c r="BJ48" s="367"/>
      <c r="BL48" s="192">
        <f>BI60</f>
        <v>113472354837.67903</v>
      </c>
      <c r="BM48" s="193"/>
      <c r="BN48" s="1" t="s">
        <v>1339</v>
      </c>
      <c r="BR48" s="332" t="s">
        <v>989</v>
      </c>
      <c r="BS48" s="953">
        <f t="shared" si="24"/>
        <v>2041</v>
      </c>
      <c r="BT48" s="691">
        <f t="shared" si="25"/>
        <v>140053505711196</v>
      </c>
      <c r="BU48" s="894">
        <f t="shared" si="26"/>
        <v>2.5000000000000001E-2</v>
      </c>
      <c r="BV48" s="691">
        <f t="shared" si="27"/>
        <v>3501337642779.9004</v>
      </c>
      <c r="BX48" s="76"/>
      <c r="BY48" s="953">
        <f t="shared" si="19"/>
        <v>2041</v>
      </c>
      <c r="BZ48" s="691">
        <f t="shared" si="22"/>
        <v>10737418.24</v>
      </c>
      <c r="CA48" s="987">
        <v>64</v>
      </c>
      <c r="CB48" s="875">
        <f t="shared" si="16"/>
        <v>687194767.36000001</v>
      </c>
      <c r="CC48" s="969"/>
      <c r="CD48" s="977"/>
      <c r="CE48" s="691">
        <f t="shared" si="17"/>
        <v>0</v>
      </c>
      <c r="CG48" s="691">
        <f t="shared" si="7"/>
        <v>0</v>
      </c>
      <c r="CH48" s="691">
        <f t="shared" si="20"/>
        <v>10977936408.576</v>
      </c>
      <c r="CI48" s="894">
        <f t="shared" si="14"/>
        <v>0.125</v>
      </c>
      <c r="CJ48" s="975">
        <f t="shared" si="11"/>
        <v>1372242051.072</v>
      </c>
      <c r="CK48" s="691">
        <f t="shared" si="13"/>
        <v>1394924787.3240538</v>
      </c>
      <c r="CL48" s="183">
        <f t="shared" si="21"/>
        <v>0</v>
      </c>
      <c r="CM48" s="949">
        <f t="shared" si="10"/>
        <v>2041</v>
      </c>
    </row>
    <row r="49" spans="3:91" ht="16.2" thickBot="1" x14ac:dyDescent="0.35">
      <c r="C49" s="1" t="s">
        <v>801</v>
      </c>
      <c r="BC49" s="1150" t="s">
        <v>308</v>
      </c>
      <c r="BD49" s="182">
        <f>BD48*BE49</f>
        <v>106841806269.43005</v>
      </c>
      <c r="BE49" s="680">
        <v>0.66163000000000005</v>
      </c>
      <c r="BF49" s="1" t="s">
        <v>1275</v>
      </c>
      <c r="BH49" s="565" t="s">
        <v>888</v>
      </c>
      <c r="BI49" s="953">
        <v>8</v>
      </c>
      <c r="BJ49" s="1" t="s">
        <v>889</v>
      </c>
      <c r="BN49" s="1" t="s">
        <v>1340</v>
      </c>
      <c r="BR49" s="332" t="s">
        <v>989</v>
      </c>
      <c r="BS49" s="953">
        <f t="shared" si="24"/>
        <v>2042</v>
      </c>
      <c r="BT49" s="691">
        <f t="shared" si="25"/>
        <v>143554843353975.91</v>
      </c>
      <c r="BU49" s="894">
        <f t="shared" si="26"/>
        <v>2.5000000000000001E-2</v>
      </c>
      <c r="BV49" s="691">
        <f t="shared" si="27"/>
        <v>3588871083849.3979</v>
      </c>
      <c r="BX49" s="76"/>
      <c r="BY49" s="953">
        <f t="shared" si="19"/>
        <v>2042</v>
      </c>
      <c r="BZ49" s="691">
        <f t="shared" si="22"/>
        <v>10737418.24</v>
      </c>
      <c r="CA49" s="987">
        <v>64</v>
      </c>
      <c r="CB49" s="875">
        <f t="shared" si="16"/>
        <v>687194767.36000001</v>
      </c>
      <c r="CC49" s="969"/>
      <c r="CD49" s="977"/>
      <c r="CE49" s="691">
        <f t="shared" si="17"/>
        <v>0</v>
      </c>
      <c r="CG49" s="691">
        <f t="shared" si="7"/>
        <v>0</v>
      </c>
      <c r="CH49" s="691">
        <f t="shared" si="20"/>
        <v>10977936408.576</v>
      </c>
      <c r="CI49" s="894">
        <f t="shared" si="14"/>
        <v>0.125</v>
      </c>
      <c r="CJ49" s="975">
        <f t="shared" si="11"/>
        <v>1372242051.072</v>
      </c>
      <c r="CK49" s="691">
        <f t="shared" si="13"/>
        <v>1394924787.3240538</v>
      </c>
      <c r="CL49" s="183">
        <f t="shared" si="21"/>
        <v>0</v>
      </c>
      <c r="CM49" s="949">
        <f t="shared" si="10"/>
        <v>2042</v>
      </c>
    </row>
    <row r="50" spans="3:91" x14ac:dyDescent="0.3">
      <c r="C50" s="13"/>
      <c r="D50" s="4"/>
      <c r="E50" s="120" t="s">
        <v>275</v>
      </c>
      <c r="F50" s="4"/>
      <c r="G50" s="173" t="s">
        <v>288</v>
      </c>
      <c r="H50" s="462" t="s">
        <v>1367</v>
      </c>
      <c r="I50" s="170" t="s">
        <v>1373</v>
      </c>
      <c r="J50" s="175" t="s">
        <v>297</v>
      </c>
      <c r="K50" s="170" t="s">
        <v>802</v>
      </c>
      <c r="BD50" s="239"/>
      <c r="BF50" s="1" t="s">
        <v>1276</v>
      </c>
      <c r="BH50" s="565" t="s">
        <v>890</v>
      </c>
      <c r="BI50" s="208">
        <f>BI48/BI49</f>
        <v>2.0141962080832272</v>
      </c>
      <c r="BR50" s="332" t="s">
        <v>989</v>
      </c>
      <c r="BS50" s="953">
        <f t="shared" si="24"/>
        <v>2043</v>
      </c>
      <c r="BT50" s="691">
        <f t="shared" si="25"/>
        <v>147143714437825.31</v>
      </c>
      <c r="BU50" s="894">
        <f t="shared" si="26"/>
        <v>2.5000000000000001E-2</v>
      </c>
      <c r="BV50" s="691">
        <f t="shared" si="27"/>
        <v>3678592860945.6328</v>
      </c>
      <c r="BX50" s="76"/>
      <c r="BY50" s="953">
        <f t="shared" si="19"/>
        <v>2043</v>
      </c>
      <c r="BZ50" s="691">
        <f t="shared" si="22"/>
        <v>10737418.24</v>
      </c>
      <c r="CA50" s="987">
        <v>64</v>
      </c>
      <c r="CB50" s="875">
        <f t="shared" si="16"/>
        <v>687194767.36000001</v>
      </c>
      <c r="CC50" s="969"/>
      <c r="CD50" s="977"/>
      <c r="CE50" s="691">
        <f t="shared" si="17"/>
        <v>0</v>
      </c>
      <c r="CG50" s="691">
        <f t="shared" si="7"/>
        <v>0</v>
      </c>
      <c r="CH50" s="691">
        <f t="shared" si="20"/>
        <v>10977936408.576</v>
      </c>
      <c r="CI50" s="894">
        <f t="shared" si="14"/>
        <v>0.125</v>
      </c>
      <c r="CJ50" s="975">
        <f t="shared" si="11"/>
        <v>1372242051.072</v>
      </c>
      <c r="CK50" s="691">
        <f t="shared" si="13"/>
        <v>1394924787.3240538</v>
      </c>
      <c r="CL50" s="183">
        <f t="shared" si="21"/>
        <v>0</v>
      </c>
      <c r="CM50" s="949">
        <f t="shared" si="10"/>
        <v>2043</v>
      </c>
    </row>
    <row r="51" spans="3:91" x14ac:dyDescent="0.3">
      <c r="C51" s="122"/>
      <c r="D51" s="7"/>
      <c r="E51" s="875">
        <f>E8</f>
        <v>17395432682.951374</v>
      </c>
      <c r="F51" s="7"/>
      <c r="G51" s="468" t="s">
        <v>1386</v>
      </c>
      <c r="H51" s="469"/>
      <c r="I51" s="470"/>
      <c r="J51" s="471"/>
      <c r="K51" s="470"/>
      <c r="BD51" s="277" t="s">
        <v>748</v>
      </c>
      <c r="BH51" s="239"/>
      <c r="BI51" s="76"/>
      <c r="BR51" s="332" t="s">
        <v>989</v>
      </c>
      <c r="BS51" s="953">
        <f t="shared" si="24"/>
        <v>2044</v>
      </c>
      <c r="BT51" s="691">
        <f t="shared" si="25"/>
        <v>150822307298770.94</v>
      </c>
      <c r="BU51" s="894">
        <f t="shared" si="26"/>
        <v>2.5000000000000001E-2</v>
      </c>
      <c r="BV51" s="691">
        <f t="shared" si="27"/>
        <v>3770557682469.2734</v>
      </c>
      <c r="BX51" s="76"/>
      <c r="BY51" s="953">
        <f t="shared" si="19"/>
        <v>2044</v>
      </c>
      <c r="BZ51" s="691">
        <f t="shared" si="22"/>
        <v>10737418.24</v>
      </c>
      <c r="CA51" s="987">
        <v>64</v>
      </c>
      <c r="CB51" s="875">
        <f t="shared" si="16"/>
        <v>687194767.36000001</v>
      </c>
      <c r="CC51" s="969"/>
      <c r="CD51" s="977"/>
      <c r="CE51" s="691">
        <f t="shared" si="17"/>
        <v>0</v>
      </c>
      <c r="CG51" s="691">
        <f t="shared" si="7"/>
        <v>0</v>
      </c>
      <c r="CH51" s="691">
        <f t="shared" si="20"/>
        <v>10977936408.576</v>
      </c>
      <c r="CI51" s="894">
        <f t="shared" si="14"/>
        <v>0.125</v>
      </c>
      <c r="CJ51" s="975">
        <f t="shared" si="11"/>
        <v>1372242051.072</v>
      </c>
      <c r="CK51" s="691">
        <f t="shared" si="13"/>
        <v>1394924787.3240538</v>
      </c>
      <c r="CL51" s="183">
        <f t="shared" si="21"/>
        <v>0</v>
      </c>
      <c r="CM51" s="949">
        <f t="shared" si="10"/>
        <v>2044</v>
      </c>
    </row>
    <row r="52" spans="3:91" ht="16.2" thickBot="1" x14ac:dyDescent="0.35">
      <c r="C52" s="122"/>
      <c r="D52" s="7"/>
      <c r="E52" s="7"/>
      <c r="F52" s="127"/>
      <c r="G52" s="127" t="s">
        <v>280</v>
      </c>
      <c r="H52" s="7"/>
      <c r="I52" s="459" t="s">
        <v>282</v>
      </c>
      <c r="J52" s="122"/>
      <c r="K52" s="8"/>
      <c r="BD52" s="277" t="s">
        <v>747</v>
      </c>
      <c r="BF52" s="110" t="s">
        <v>746</v>
      </c>
      <c r="BH52" s="565" t="s">
        <v>891</v>
      </c>
      <c r="BI52" s="76"/>
      <c r="BR52" s="332" t="s">
        <v>989</v>
      </c>
      <c r="BS52" s="953">
        <f t="shared" si="24"/>
        <v>2045</v>
      </c>
      <c r="BT52" s="691">
        <f t="shared" si="25"/>
        <v>154592864981240.22</v>
      </c>
      <c r="BU52" s="894">
        <f t="shared" si="26"/>
        <v>2.5000000000000001E-2</v>
      </c>
      <c r="BV52" s="691">
        <f t="shared" si="27"/>
        <v>3864821624531.0059</v>
      </c>
      <c r="BX52" s="76"/>
      <c r="BY52" s="953">
        <f t="shared" si="19"/>
        <v>2045</v>
      </c>
      <c r="BZ52" s="691">
        <f t="shared" si="22"/>
        <v>10737418.24</v>
      </c>
      <c r="CA52" s="987">
        <v>64</v>
      </c>
      <c r="CB52" s="875">
        <f t="shared" si="16"/>
        <v>687194767.36000001</v>
      </c>
      <c r="CC52" s="969"/>
      <c r="CD52" s="977"/>
      <c r="CE52" s="691">
        <f t="shared" si="17"/>
        <v>0</v>
      </c>
      <c r="CG52" s="691">
        <f t="shared" si="7"/>
        <v>0</v>
      </c>
      <c r="CH52" s="691">
        <f t="shared" si="20"/>
        <v>10977936408.576</v>
      </c>
      <c r="CI52" s="894">
        <f t="shared" si="14"/>
        <v>0.125</v>
      </c>
      <c r="CJ52" s="975">
        <f t="shared" si="11"/>
        <v>1372242051.072</v>
      </c>
      <c r="CK52" s="691">
        <f t="shared" si="13"/>
        <v>1394924787.3240538</v>
      </c>
      <c r="CL52" s="183">
        <f t="shared" si="21"/>
        <v>0</v>
      </c>
      <c r="CM52" s="949">
        <f t="shared" si="10"/>
        <v>2045</v>
      </c>
    </row>
    <row r="53" spans="3:91" ht="16.2" thickBot="1" x14ac:dyDescent="0.35">
      <c r="C53" s="122"/>
      <c r="D53" s="7"/>
      <c r="E53" s="7"/>
      <c r="F53" s="129">
        <v>0.25</v>
      </c>
      <c r="G53" s="130">
        <f>E57*F53</f>
        <v>241695181.39572316</v>
      </c>
      <c r="H53" s="460">
        <v>0.5</v>
      </c>
      <c r="I53" s="130">
        <f>G53*H53</f>
        <v>120847590.69786158</v>
      </c>
      <c r="J53" s="460">
        <v>0</v>
      </c>
      <c r="K53" s="458">
        <f>I53*J53</f>
        <v>0</v>
      </c>
      <c r="BB53" s="933">
        <f>BE53</f>
        <v>1024</v>
      </c>
      <c r="BC53" s="927" t="s">
        <v>745</v>
      </c>
      <c r="BD53" s="578">
        <f>BF53*BE53</f>
        <v>21990232555.52</v>
      </c>
      <c r="BE53" s="934">
        <v>1024</v>
      </c>
      <c r="BF53" s="578">
        <f>'POP Dimensions'!J15</f>
        <v>21474836.48</v>
      </c>
      <c r="BG53" s="239"/>
      <c r="BH53" s="565" t="s">
        <v>901</v>
      </c>
      <c r="BI53" s="484">
        <v>0.17</v>
      </c>
      <c r="BJ53" s="1" t="s">
        <v>895</v>
      </c>
      <c r="BR53" s="332" t="s">
        <v>989</v>
      </c>
      <c r="BS53" s="953">
        <f t="shared" si="24"/>
        <v>2046</v>
      </c>
      <c r="BT53" s="691">
        <f t="shared" si="25"/>
        <v>158457686605771.22</v>
      </c>
      <c r="BU53" s="894">
        <f t="shared" si="26"/>
        <v>2.5000000000000001E-2</v>
      </c>
      <c r="BV53" s="691">
        <f t="shared" si="27"/>
        <v>3961442165144.2808</v>
      </c>
      <c r="BX53" s="76"/>
      <c r="BY53" s="953">
        <f t="shared" si="19"/>
        <v>2046</v>
      </c>
      <c r="BZ53" s="691">
        <f t="shared" si="22"/>
        <v>10737418.24</v>
      </c>
      <c r="CA53" s="987">
        <v>64</v>
      </c>
      <c r="CB53" s="875">
        <f t="shared" si="16"/>
        <v>687194767.36000001</v>
      </c>
      <c r="CC53" s="969"/>
      <c r="CD53" s="977"/>
      <c r="CE53" s="691">
        <f t="shared" si="17"/>
        <v>0</v>
      </c>
      <c r="CG53" s="691">
        <f t="shared" si="7"/>
        <v>0</v>
      </c>
      <c r="CH53" s="691">
        <f t="shared" si="20"/>
        <v>10977936408.576</v>
      </c>
      <c r="CI53" s="894">
        <f t="shared" si="14"/>
        <v>0.125</v>
      </c>
      <c r="CJ53" s="975">
        <f t="shared" si="11"/>
        <v>1372242051.072</v>
      </c>
      <c r="CK53" s="691">
        <f t="shared" si="13"/>
        <v>1394924787.3240538</v>
      </c>
      <c r="CL53" s="183">
        <f t="shared" si="21"/>
        <v>0</v>
      </c>
      <c r="CM53" s="949">
        <f t="shared" si="10"/>
        <v>2046</v>
      </c>
    </row>
    <row r="54" spans="3:91" ht="16.2" thickBot="1" x14ac:dyDescent="0.35">
      <c r="C54" s="122"/>
      <c r="D54" s="7"/>
      <c r="E54" s="7"/>
      <c r="F54" s="133"/>
      <c r="G54" s="134" t="s">
        <v>290</v>
      </c>
      <c r="H54" s="7"/>
      <c r="I54" s="457" t="s">
        <v>283</v>
      </c>
      <c r="J54" s="122"/>
      <c r="K54" s="8"/>
      <c r="BB54" s="927"/>
      <c r="BD54" s="999" t="s">
        <v>1355</v>
      </c>
      <c r="BE54" s="254"/>
      <c r="BF54" s="248" t="s">
        <v>1290</v>
      </c>
      <c r="BH54" s="566"/>
      <c r="BI54" s="76"/>
      <c r="BR54" s="332" t="s">
        <v>989</v>
      </c>
      <c r="BS54" s="953">
        <f t="shared" si="24"/>
        <v>2047</v>
      </c>
      <c r="BT54" s="691">
        <f t="shared" si="25"/>
        <v>162419128770915.5</v>
      </c>
      <c r="BU54" s="894">
        <f t="shared" si="26"/>
        <v>2.5000000000000001E-2</v>
      </c>
      <c r="BV54" s="691">
        <f t="shared" si="27"/>
        <v>4060478219272.8877</v>
      </c>
      <c r="BX54" s="76"/>
      <c r="BY54" s="953">
        <f t="shared" si="19"/>
        <v>2047</v>
      </c>
      <c r="BZ54" s="691">
        <f t="shared" si="22"/>
        <v>10737418.24</v>
      </c>
      <c r="CA54" s="987">
        <v>64</v>
      </c>
      <c r="CB54" s="875">
        <f t="shared" si="16"/>
        <v>687194767.36000001</v>
      </c>
      <c r="CC54" s="969"/>
      <c r="CD54" s="977"/>
      <c r="CE54" s="691">
        <f t="shared" si="17"/>
        <v>0</v>
      </c>
      <c r="CG54" s="691">
        <f t="shared" si="7"/>
        <v>0</v>
      </c>
      <c r="CH54" s="691">
        <f t="shared" si="20"/>
        <v>10977936408.576</v>
      </c>
      <c r="CI54" s="894">
        <f t="shared" si="14"/>
        <v>0.125</v>
      </c>
      <c r="CJ54" s="975">
        <f t="shared" si="11"/>
        <v>1372242051.072</v>
      </c>
      <c r="CK54" s="691">
        <f t="shared" si="13"/>
        <v>1394924787.3240538</v>
      </c>
      <c r="CL54" s="183">
        <f t="shared" si="21"/>
        <v>0</v>
      </c>
      <c r="CM54" s="949">
        <f t="shared" si="10"/>
        <v>2047</v>
      </c>
    </row>
    <row r="55" spans="3:91" ht="16.2" thickBot="1" x14ac:dyDescent="0.35">
      <c r="C55" s="122"/>
      <c r="D55" s="7"/>
      <c r="E55" s="7"/>
      <c r="F55" s="133">
        <v>0.25</v>
      </c>
      <c r="G55" s="135">
        <f>E57*F55</f>
        <v>241695181.39572316</v>
      </c>
      <c r="H55" s="461">
        <v>0.9</v>
      </c>
      <c r="I55" s="135">
        <f>G55*H55</f>
        <v>217525663.25615084</v>
      </c>
      <c r="J55" s="461">
        <v>0</v>
      </c>
      <c r="K55" s="440">
        <f>I55*J55</f>
        <v>0</v>
      </c>
      <c r="BB55" s="239"/>
      <c r="BD55" s="1002" t="s">
        <v>867</v>
      </c>
      <c r="BE55" s="254"/>
      <c r="BF55" s="253"/>
      <c r="BH55" s="239"/>
      <c r="BI55" s="484">
        <v>0.17</v>
      </c>
      <c r="BJ55" s="32">
        <f>BI55</f>
        <v>0.17</v>
      </c>
      <c r="BR55" s="332" t="s">
        <v>989</v>
      </c>
      <c r="BS55" s="953">
        <f t="shared" si="24"/>
        <v>2048</v>
      </c>
      <c r="BT55" s="691">
        <f t="shared" si="25"/>
        <v>166479606990188.38</v>
      </c>
      <c r="BU55" s="894">
        <f t="shared" si="26"/>
        <v>2.5000000000000001E-2</v>
      </c>
      <c r="BV55" s="691">
        <f t="shared" si="27"/>
        <v>4161990174754.7095</v>
      </c>
      <c r="BW55" s="895" t="s">
        <v>1280</v>
      </c>
      <c r="BX55" s="76"/>
      <c r="BY55" s="953">
        <f t="shared" si="19"/>
        <v>2048</v>
      </c>
      <c r="BZ55" s="691">
        <f t="shared" si="22"/>
        <v>10737418.24</v>
      </c>
      <c r="CA55" s="987">
        <v>64</v>
      </c>
      <c r="CB55" s="875">
        <f t="shared" si="16"/>
        <v>687194767.36000001</v>
      </c>
      <c r="CC55" s="969"/>
      <c r="CD55" s="977"/>
      <c r="CE55" s="691">
        <f t="shared" si="17"/>
        <v>0</v>
      </c>
      <c r="CG55" s="691">
        <f t="shared" si="7"/>
        <v>0</v>
      </c>
      <c r="CH55" s="691">
        <f t="shared" si="20"/>
        <v>10977936408.576</v>
      </c>
      <c r="CI55" s="894">
        <f t="shared" si="14"/>
        <v>0.125</v>
      </c>
      <c r="CJ55" s="975">
        <f t="shared" si="11"/>
        <v>1372242051.072</v>
      </c>
      <c r="CK55" s="691">
        <f t="shared" si="13"/>
        <v>1394924787.3240538</v>
      </c>
      <c r="CL55" s="183">
        <f t="shared" si="21"/>
        <v>0</v>
      </c>
      <c r="CM55" s="949">
        <f t="shared" si="10"/>
        <v>2048</v>
      </c>
    </row>
    <row r="56" spans="3:91" ht="18.600000000000001" thickBot="1" x14ac:dyDescent="0.4">
      <c r="C56" s="122"/>
      <c r="D56" s="7"/>
      <c r="E56" s="7"/>
      <c r="F56" s="136"/>
      <c r="G56" s="136" t="s">
        <v>279</v>
      </c>
      <c r="H56" s="7"/>
      <c r="I56" s="451" t="s">
        <v>284</v>
      </c>
      <c r="J56" s="122"/>
      <c r="K56" s="8"/>
      <c r="S56" s="88"/>
      <c r="BB56" s="239"/>
      <c r="BD56" s="719">
        <f>BD48-BD53</f>
        <v>139492478732.40536</v>
      </c>
      <c r="BE56" s="253"/>
      <c r="BF56" s="253"/>
      <c r="BG56" s="253"/>
      <c r="BH56" s="239" t="s">
        <v>892</v>
      </c>
      <c r="BI56" s="615">
        <f>BJ58</f>
        <v>11.848212988724866</v>
      </c>
      <c r="BJ56" s="569" t="s">
        <v>980</v>
      </c>
      <c r="BK56" s="569"/>
      <c r="BL56" s="181"/>
      <c r="BM56" s="181"/>
      <c r="BN56" s="252"/>
      <c r="BO56" s="252"/>
      <c r="BP56" s="252"/>
      <c r="BQ56" s="252"/>
      <c r="BW56" s="1"/>
      <c r="CC56" s="979">
        <f>SUM(CC22:CC55)</f>
        <v>15.975</v>
      </c>
      <c r="CD56" s="979">
        <f>SUM(CD22:CD55)</f>
        <v>0</v>
      </c>
    </row>
    <row r="57" spans="3:91" ht="16.8" thickTop="1" thickBot="1" x14ac:dyDescent="0.35">
      <c r="C57" s="137" t="s">
        <v>291</v>
      </c>
      <c r="D57" s="138">
        <f>E57/E51</f>
        <v>5.5576698964803502E-2</v>
      </c>
      <c r="E57" s="139">
        <f>E14</f>
        <v>966780725.58289266</v>
      </c>
      <c r="F57" s="140">
        <v>0.5</v>
      </c>
      <c r="G57" s="139">
        <f>E57*F57</f>
        <v>483390362.79144633</v>
      </c>
      <c r="H57" s="463">
        <v>0.95</v>
      </c>
      <c r="I57" s="139">
        <f>G57*H57</f>
        <v>459220844.65187401</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48"/>
      <c r="BC57" s="937" t="s">
        <v>1293</v>
      </c>
      <c r="BD57" s="1003"/>
      <c r="BE57" s="253"/>
      <c r="BF57" s="877" t="s">
        <v>1293</v>
      </c>
      <c r="BG57" s="252"/>
      <c r="BH57" s="239"/>
      <c r="BI57" s="208">
        <f>BI50</f>
        <v>2.0141962080832272</v>
      </c>
      <c r="BJ57" s="80">
        <f>BI57</f>
        <v>2.0141962080832272</v>
      </c>
      <c r="CG57" s="77" t="s">
        <v>966</v>
      </c>
      <c r="CH57" s="77"/>
      <c r="CI57" s="77" t="s">
        <v>965</v>
      </c>
      <c r="CJ57" s="77"/>
      <c r="CK57" s="77"/>
    </row>
    <row r="58" spans="3:91"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48"/>
      <c r="BC58" s="937" t="s">
        <v>1294</v>
      </c>
      <c r="BD58" s="996">
        <f>BD56*BE58</f>
        <v>1394924787.3240538</v>
      </c>
      <c r="BE58" s="923">
        <v>0.01</v>
      </c>
      <c r="BF58" s="924" t="s">
        <v>1443</v>
      </c>
      <c r="BG58" s="925"/>
      <c r="BH58" s="239"/>
      <c r="BI58" s="76"/>
      <c r="BJ58" s="1">
        <f>BJ57/BJ55</f>
        <v>11.848212988724866</v>
      </c>
      <c r="CG58" s="77" t="s">
        <v>785</v>
      </c>
      <c r="CH58" s="77"/>
      <c r="CI58" s="77" t="s">
        <v>962</v>
      </c>
      <c r="CJ58" s="77"/>
      <c r="CK58" s="77"/>
    </row>
    <row r="59" spans="3:91"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76"/>
      <c r="BA59" s="410"/>
      <c r="BB59" s="928"/>
      <c r="BC59" s="948" t="s">
        <v>1295</v>
      </c>
      <c r="BD59" s="911">
        <f>BD56*BE59</f>
        <v>2789849574.6481075</v>
      </c>
      <c r="BE59" s="912">
        <v>0.02</v>
      </c>
      <c r="BF59" s="875" t="s">
        <v>1162</v>
      </c>
      <c r="BG59" s="126"/>
      <c r="BH59" s="239"/>
      <c r="BI59" s="76"/>
      <c r="BN59" s="32"/>
    </row>
    <row r="60" spans="3:91" ht="16.2" thickBot="1" x14ac:dyDescent="0.35">
      <c r="C60" s="397" t="s">
        <v>276</v>
      </c>
      <c r="D60" s="398">
        <f>100%-D57-D63</f>
        <v>0.78125</v>
      </c>
      <c r="E60" s="399">
        <f>E51*D60</f>
        <v>13590181783.555761</v>
      </c>
      <c r="F60" s="400">
        <v>1</v>
      </c>
      <c r="G60" s="399">
        <f>E60*F60</f>
        <v>13590181783.555761</v>
      </c>
      <c r="H60" s="464">
        <v>0.9</v>
      </c>
      <c r="I60" s="399">
        <f>G60*H60</f>
        <v>12231163605.200186</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76"/>
      <c r="BA60" s="76"/>
      <c r="BB60" s="239"/>
      <c r="BC60" s="948" t="s">
        <v>1296</v>
      </c>
      <c r="BD60" s="911">
        <f>BD56*BE60</f>
        <v>5579699149.2962151</v>
      </c>
      <c r="BE60" s="912">
        <v>0.04</v>
      </c>
      <c r="BF60" s="875" t="s">
        <v>1441</v>
      </c>
      <c r="BG60" s="126"/>
      <c r="BH60" s="239"/>
      <c r="BI60" s="691">
        <f>BI32+BI47</f>
        <v>113472354837.67903</v>
      </c>
      <c r="BJ60" s="1" t="s">
        <v>958</v>
      </c>
      <c r="BW60" s="1"/>
      <c r="CA60" s="1"/>
      <c r="CL60" s="1"/>
      <c r="CM60" s="1"/>
    </row>
    <row r="61" spans="3:91"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76"/>
      <c r="BA61" s="410"/>
      <c r="BB61" s="927"/>
      <c r="BC61" s="948" t="s">
        <v>1297</v>
      </c>
      <c r="BD61" s="911">
        <f>BD56*BE61</f>
        <v>8369548723.9443216</v>
      </c>
      <c r="BE61" s="912">
        <v>0.06</v>
      </c>
      <c r="BF61" s="875" t="s">
        <v>1303</v>
      </c>
      <c r="BG61" s="126"/>
      <c r="BH61" s="253"/>
      <c r="BI61" s="647">
        <f>BI60/BI47</f>
        <v>17.113569664665818</v>
      </c>
    </row>
    <row r="62" spans="3:91"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76"/>
      <c r="BA62" s="76"/>
      <c r="BB62" s="239"/>
      <c r="BC62" s="948" t="s">
        <v>1300</v>
      </c>
      <c r="BD62" s="911">
        <f>BD56*BE62</f>
        <v>12554323085.916483</v>
      </c>
      <c r="BE62" s="912">
        <v>0.09</v>
      </c>
      <c r="BF62" s="410" t="s">
        <v>1442</v>
      </c>
      <c r="BG62" s="126"/>
      <c r="BH62" s="253"/>
    </row>
    <row r="63" spans="3:91" ht="16.2" thickBot="1" x14ac:dyDescent="0.35">
      <c r="C63" s="149" t="s">
        <v>737</v>
      </c>
      <c r="D63" s="150">
        <f>E63/E51</f>
        <v>0.16317330103519651</v>
      </c>
      <c r="E63" s="151">
        <f>E21</f>
        <v>2838470173.8127208</v>
      </c>
      <c r="F63" s="152">
        <v>0.3</v>
      </c>
      <c r="G63" s="151">
        <f>E63*F63</f>
        <v>851541052.14381623</v>
      </c>
      <c r="H63" s="465">
        <v>0.9</v>
      </c>
      <c r="I63" s="151">
        <f>G63*H63</f>
        <v>766386946.92943466</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926"/>
      <c r="AZ63" s="410"/>
      <c r="BA63" s="410"/>
      <c r="BB63" s="927"/>
      <c r="BC63" s="948" t="s">
        <v>1305</v>
      </c>
      <c r="BD63" s="911">
        <f>BD56*BE63</f>
        <v>5579699149.2962151</v>
      </c>
      <c r="BE63" s="912">
        <v>0.04</v>
      </c>
      <c r="BF63" s="410" t="s">
        <v>148</v>
      </c>
      <c r="BG63" s="126"/>
      <c r="BH63" s="253"/>
    </row>
    <row r="64" spans="3:91"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W64" s="88"/>
      <c r="AY64" s="106"/>
      <c r="AZ64" s="964"/>
      <c r="BA64" s="106"/>
      <c r="BB64" s="929"/>
      <c r="BC64" s="938"/>
      <c r="BD64" s="1004"/>
      <c r="BE64" s="1005"/>
      <c r="BF64" s="1005"/>
      <c r="BG64" s="903"/>
      <c r="BH64" s="253"/>
    </row>
    <row r="65" spans="3:91" ht="16.2" thickBot="1" x14ac:dyDescent="0.35">
      <c r="C65" s="141"/>
      <c r="D65" s="429"/>
      <c r="E65" s="371"/>
      <c r="F65" s="430">
        <v>0.25</v>
      </c>
      <c r="G65" s="432">
        <f>E63*F65</f>
        <v>709617543.45318019</v>
      </c>
      <c r="H65" s="466">
        <v>0.95</v>
      </c>
      <c r="I65" s="432">
        <f>G65*H65</f>
        <v>674136666.28052115</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W65" s="88"/>
      <c r="AY65" s="106"/>
      <c r="AZ65" s="964"/>
      <c r="BA65" s="106"/>
      <c r="BB65" s="927"/>
      <c r="BC65" s="939" t="s">
        <v>1299</v>
      </c>
      <c r="BD65" s="1006">
        <f>BD53</f>
        <v>21990232555.52</v>
      </c>
      <c r="BE65" s="935">
        <f>BD65/BD56</f>
        <v>0.15764457521544831</v>
      </c>
      <c r="BF65" s="898" t="s">
        <v>1311</v>
      </c>
      <c r="BG65" s="905"/>
      <c r="BH65" s="253"/>
    </row>
    <row r="66" spans="3:91"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W66" s="88"/>
      <c r="AX66" s="88"/>
      <c r="AY66" s="106"/>
      <c r="AZ66" s="964"/>
      <c r="BA66" s="106"/>
      <c r="BB66" s="106"/>
      <c r="BC66" s="940" t="s">
        <v>1325</v>
      </c>
      <c r="BD66" s="930">
        <f>BD56*BE66</f>
        <v>1394924787.3240538</v>
      </c>
      <c r="BE66" s="931">
        <v>0.01</v>
      </c>
      <c r="BF66" s="898" t="s">
        <v>1315</v>
      </c>
      <c r="BG66" s="905"/>
      <c r="BH66" s="946">
        <v>272</v>
      </c>
      <c r="BI66" s="181" t="s">
        <v>1314</v>
      </c>
    </row>
    <row r="67" spans="3:91" ht="16.2" thickBot="1" x14ac:dyDescent="0.35">
      <c r="C67" s="122"/>
      <c r="D67" s="7"/>
      <c r="E67" s="7"/>
      <c r="F67" s="153">
        <v>0.2</v>
      </c>
      <c r="G67" s="99">
        <f>E63*F67</f>
        <v>567694034.76254416</v>
      </c>
      <c r="H67" s="467">
        <v>0.9</v>
      </c>
      <c r="I67" s="99">
        <f>G67*H67</f>
        <v>510924631.28628975</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W67" s="88"/>
      <c r="AY67" s="106"/>
      <c r="AZ67" s="964"/>
      <c r="BA67" s="106"/>
      <c r="BB67" s="106"/>
      <c r="BC67" s="940" t="s">
        <v>1307</v>
      </c>
      <c r="BD67" s="930">
        <f>BD56*BE67</f>
        <v>6974623936.6202688</v>
      </c>
      <c r="BE67" s="931">
        <v>0.05</v>
      </c>
      <c r="BF67" s="898" t="s">
        <v>1323</v>
      </c>
      <c r="BG67" s="905"/>
      <c r="BH67" s="945">
        <v>100</v>
      </c>
      <c r="BI67" s="938">
        <f>BH66*BH67</f>
        <v>27200</v>
      </c>
      <c r="BJ67" s="1" t="s">
        <v>1316</v>
      </c>
    </row>
    <row r="68" spans="3:91"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W68" s="88"/>
      <c r="AX68" s="88"/>
      <c r="AY68" s="106"/>
      <c r="AZ68" s="964"/>
      <c r="BA68" s="106"/>
      <c r="BB68" s="251"/>
      <c r="BC68" s="940" t="s">
        <v>1308</v>
      </c>
      <c r="BD68" s="930">
        <f>BD56*BE68</f>
        <v>4184774361.9721608</v>
      </c>
      <c r="BE68" s="931">
        <v>0.03</v>
      </c>
      <c r="BF68" s="898" t="s">
        <v>1438</v>
      </c>
      <c r="BG68" s="905"/>
      <c r="BH68" s="600"/>
      <c r="BI68" s="1">
        <v>1000</v>
      </c>
      <c r="BJ68" s="1" t="s">
        <v>226</v>
      </c>
    </row>
    <row r="69" spans="3:91" ht="16.2" thickBot="1" x14ac:dyDescent="0.35">
      <c r="C69" s="122"/>
      <c r="D69" s="7"/>
      <c r="E69" s="7"/>
      <c r="F69" s="438">
        <v>0.2</v>
      </c>
      <c r="G69" s="446">
        <f>E63*F69</f>
        <v>567694034.76254416</v>
      </c>
      <c r="H69" s="447">
        <v>0.25</v>
      </c>
      <c r="I69" s="446">
        <f>G69*H69</f>
        <v>141923508.69063604</v>
      </c>
      <c r="J69" s="447">
        <v>0</v>
      </c>
      <c r="K69" s="439">
        <f>I69*J69</f>
        <v>0</v>
      </c>
      <c r="Q69" s="240" t="s">
        <v>952</v>
      </c>
      <c r="S69" s="88"/>
      <c r="W69" s="691">
        <f>BG47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88"/>
      <c r="AW69" s="88"/>
      <c r="AX69" s="88"/>
      <c r="AY69" s="88"/>
      <c r="AZ69" s="958"/>
      <c r="BA69" s="88"/>
      <c r="BB69" s="88"/>
      <c r="BC69" s="940" t="s">
        <v>1317</v>
      </c>
      <c r="BD69" s="930">
        <f>BD56*BE69</f>
        <v>4184774361.9721608</v>
      </c>
      <c r="BE69" s="931">
        <v>0.03</v>
      </c>
      <c r="BF69" s="898" t="s">
        <v>1356</v>
      </c>
      <c r="BG69" s="905"/>
      <c r="BH69" s="601"/>
      <c r="BI69" s="1">
        <f>BI67*BI68</f>
        <v>27200000</v>
      </c>
      <c r="BJ69" s="1" t="s">
        <v>1320</v>
      </c>
    </row>
    <row r="70" spans="3:91"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88"/>
      <c r="AW70" s="88"/>
      <c r="AX70" s="88"/>
      <c r="AY70" s="88"/>
      <c r="AZ70" s="958"/>
      <c r="BA70" s="88"/>
      <c r="BB70" s="88"/>
      <c r="BC70" s="940" t="s">
        <v>1318</v>
      </c>
      <c r="BD70" s="930">
        <f>BD56*BE70</f>
        <v>4184774361.9721608</v>
      </c>
      <c r="BE70" s="931">
        <v>0.03</v>
      </c>
      <c r="BF70" s="898" t="s">
        <v>1357</v>
      </c>
      <c r="BG70" s="905"/>
      <c r="BH70" s="600"/>
      <c r="BI70" s="1">
        <f>BI69*2</f>
        <v>54400000</v>
      </c>
      <c r="BJ70" s="1" t="s">
        <v>1346</v>
      </c>
      <c r="BW70" s="1"/>
      <c r="CA70" s="1"/>
      <c r="CL70" s="1"/>
      <c r="CM70" s="1"/>
    </row>
    <row r="71" spans="3:91" x14ac:dyDescent="0.3">
      <c r="C71" s="122"/>
      <c r="D71" s="7"/>
      <c r="E71" s="7"/>
      <c r="F71" s="7"/>
      <c r="G71" s="7"/>
      <c r="H71" s="7"/>
      <c r="I71" s="8"/>
      <c r="J71" s="122"/>
      <c r="K71" s="8"/>
      <c r="L71" s="240" t="s">
        <v>1387</v>
      </c>
      <c r="M71" s="239" t="s">
        <v>1327</v>
      </c>
      <c r="O71" s="240" t="s">
        <v>902</v>
      </c>
      <c r="Q71" s="240" t="s">
        <v>902</v>
      </c>
      <c r="S71" s="955">
        <f>BE53</f>
        <v>1024</v>
      </c>
      <c r="U71" s="77" t="s">
        <v>804</v>
      </c>
      <c r="V71" s="947"/>
      <c r="W71" s="319">
        <v>0.3</v>
      </c>
      <c r="Y71" s="76" t="s">
        <v>893</v>
      </c>
      <c r="Z71" s="76"/>
      <c r="AA71" s="77" t="s">
        <v>1332</v>
      </c>
      <c r="AB71" s="88"/>
      <c r="AE71" s="958"/>
      <c r="AF71" s="644" t="s">
        <v>986</v>
      </c>
      <c r="AG71" s="958"/>
      <c r="AX71" s="88"/>
      <c r="AY71" s="88"/>
      <c r="AZ71" s="958"/>
      <c r="BA71" s="88"/>
      <c r="BB71" s="88"/>
      <c r="BC71" s="940" t="s">
        <v>1319</v>
      </c>
      <c r="BD71" s="930">
        <f>BD56*BE71</f>
        <v>4184774361.9721608</v>
      </c>
      <c r="BE71" s="931">
        <v>0.03</v>
      </c>
      <c r="BF71" s="898" t="s">
        <v>1358</v>
      </c>
      <c r="BG71" s="905"/>
      <c r="BH71" s="936"/>
    </row>
    <row r="72" spans="3:91" x14ac:dyDescent="0.3">
      <c r="C72" s="158"/>
      <c r="D72" s="10"/>
      <c r="E72" s="10"/>
      <c r="F72" s="10"/>
      <c r="G72" s="159">
        <f>SUM(G53:G71)</f>
        <v>17253509174.260738</v>
      </c>
      <c r="H72" s="160"/>
      <c r="I72" s="172">
        <f>SUM(I53:I71)</f>
        <v>15122129456.992952</v>
      </c>
      <c r="J72" s="158"/>
      <c r="K72" s="481">
        <f>SUM(K53:K71)</f>
        <v>0</v>
      </c>
      <c r="L72" s="482">
        <f>BD34</f>
        <v>9.2830522948813243</v>
      </c>
      <c r="M72" s="480">
        <f>K72*L72</f>
        <v>0</v>
      </c>
      <c r="N72" s="239"/>
      <c r="O72" s="950">
        <f>BE53</f>
        <v>1024</v>
      </c>
      <c r="P72" s="239"/>
      <c r="Q72" s="480">
        <f>M72*O72</f>
        <v>0</v>
      </c>
      <c r="R72" s="239"/>
      <c r="S72" s="956">
        <f>M72*S71</f>
        <v>0</v>
      </c>
      <c r="T72" s="239"/>
      <c r="U72" s="910">
        <f>Q72+S72</f>
        <v>0</v>
      </c>
      <c r="V72" s="949" t="s">
        <v>1330</v>
      </c>
      <c r="W72" s="910">
        <f>W69*W71</f>
        <v>1989164570.4746923</v>
      </c>
      <c r="X72" s="949" t="s">
        <v>1330</v>
      </c>
      <c r="Y72" s="910">
        <f>BD59+BD60+BD61+BD62+BD63</f>
        <v>34873119683.101349</v>
      </c>
      <c r="Z72" s="949" t="s">
        <v>1331</v>
      </c>
      <c r="AA72" s="910">
        <f>U72+W72+Y72</f>
        <v>36862284253.576042</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181"/>
      <c r="AZ72" s="958"/>
      <c r="BA72" s="88"/>
      <c r="BB72" s="88"/>
      <c r="BC72" s="940" t="s">
        <v>1312</v>
      </c>
      <c r="BD72" s="930">
        <f>BD56*BE72</f>
        <v>4184774361.9721608</v>
      </c>
      <c r="BE72" s="931">
        <v>0.03</v>
      </c>
      <c r="BF72" s="898" t="s">
        <v>1359</v>
      </c>
      <c r="BG72" s="905"/>
      <c r="BH72" s="812"/>
    </row>
    <row r="73" spans="3:91"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Y73" s="88"/>
      <c r="AZ73" s="88"/>
      <c r="BA73" s="88"/>
      <c r="BB73" s="88"/>
      <c r="BC73" s="940" t="s">
        <v>1313</v>
      </c>
      <c r="BD73" s="930">
        <f>BD56*BE73</f>
        <v>2789849574.6481075</v>
      </c>
      <c r="BE73" s="931">
        <v>0.02</v>
      </c>
      <c r="BF73" s="898" t="s">
        <v>1361</v>
      </c>
      <c r="BG73" s="905"/>
      <c r="BH73" s="255"/>
    </row>
    <row r="74" spans="3:91"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AY74" s="88"/>
      <c r="AZ74" s="252"/>
      <c r="BA74" s="252"/>
      <c r="BB74" s="252"/>
      <c r="BC74" s="940" t="s">
        <v>1324</v>
      </c>
      <c r="BD74" s="930">
        <f>BD56*BE74</f>
        <v>13949247873.240538</v>
      </c>
      <c r="BE74" s="931">
        <v>0.1</v>
      </c>
      <c r="BF74" s="898" t="s">
        <v>1439</v>
      </c>
      <c r="BG74" s="905"/>
      <c r="BH74" s="255"/>
    </row>
    <row r="75" spans="3:91"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AY75" s="88"/>
      <c r="AZ75" s="252"/>
      <c r="BA75" s="88"/>
      <c r="BB75" s="88"/>
      <c r="BC75" s="940" t="s">
        <v>1306</v>
      </c>
      <c r="BD75" s="930">
        <f>BD56*BE75</f>
        <v>2789849574.6481075</v>
      </c>
      <c r="BE75" s="931">
        <v>0.02</v>
      </c>
      <c r="BF75" s="899" t="s">
        <v>1360</v>
      </c>
      <c r="BG75" s="932"/>
      <c r="BH75" s="255"/>
    </row>
    <row r="76" spans="3:91" x14ac:dyDescent="0.3">
      <c r="R76" s="88"/>
      <c r="S76" s="252"/>
      <c r="T76" s="88"/>
      <c r="U76" s="88"/>
      <c r="V76" s="88"/>
      <c r="W76" s="88"/>
      <c r="X76" s="88"/>
      <c r="Y76" s="88"/>
      <c r="Z76" s="361" t="s">
        <v>1347</v>
      </c>
      <c r="AA76" s="736">
        <f>AA72</f>
        <v>36862284253.576042</v>
      </c>
      <c r="AB76" s="88"/>
      <c r="AD76" s="960">
        <f t="shared" si="30"/>
        <v>2018</v>
      </c>
      <c r="AE76" s="691">
        <f t="shared" si="31"/>
        <v>5717501250</v>
      </c>
      <c r="AF76" s="963">
        <f t="shared" si="28"/>
        <v>2.5000000000000001E-2</v>
      </c>
      <c r="AG76" s="691">
        <f t="shared" si="29"/>
        <v>142937531.25</v>
      </c>
      <c r="AY76" s="88"/>
      <c r="AZ76" s="252"/>
      <c r="BA76" s="88"/>
      <c r="BB76" s="88"/>
      <c r="BC76" s="941" t="s">
        <v>1309</v>
      </c>
      <c r="BD76" s="930">
        <f>BD56*BE76</f>
        <v>2789849574.6481075</v>
      </c>
      <c r="BE76" s="931">
        <v>0.02</v>
      </c>
      <c r="BF76" s="899" t="s">
        <v>1440</v>
      </c>
      <c r="BG76" s="932"/>
      <c r="BH76" s="255"/>
    </row>
    <row r="77" spans="3:91"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Y77" s="88"/>
      <c r="AZ77" s="88"/>
      <c r="BA77" s="88"/>
      <c r="BB77" s="88"/>
      <c r="BC77" s="940" t="s">
        <v>1310</v>
      </c>
      <c r="BD77" s="904">
        <f>BD56*BE77</f>
        <v>6974623936.6202688</v>
      </c>
      <c r="BE77" s="1065">
        <v>0.05</v>
      </c>
      <c r="BF77" s="898" t="s">
        <v>1362</v>
      </c>
      <c r="BG77" s="905"/>
      <c r="BH77" s="255"/>
    </row>
    <row r="78" spans="3:91" x14ac:dyDescent="0.3">
      <c r="R78" s="88"/>
      <c r="S78" s="252"/>
      <c r="T78" s="88"/>
      <c r="U78" s="88"/>
      <c r="V78" s="88"/>
      <c r="W78" s="88"/>
      <c r="X78" s="88"/>
      <c r="Y78" s="88"/>
      <c r="Z78" s="555" t="s">
        <v>1333</v>
      </c>
      <c r="AA78" s="957">
        <f>AA72/W72</f>
        <v>18.531540728567904</v>
      </c>
      <c r="AB78" s="252"/>
      <c r="AD78" s="960">
        <f t="shared" ref="AD78:AD106" si="32">AD77+1</f>
        <v>2020</v>
      </c>
      <c r="AE78" s="691">
        <f t="shared" si="31"/>
        <v>6006949750.78125</v>
      </c>
      <c r="AF78" s="963">
        <f t="shared" si="28"/>
        <v>2.5000000000000001E-2</v>
      </c>
      <c r="AG78" s="691">
        <f t="shared" si="29"/>
        <v>150173743.76953125</v>
      </c>
      <c r="AY78" s="88"/>
      <c r="AZ78" s="88"/>
      <c r="BA78" s="88"/>
      <c r="BB78" s="88"/>
      <c r="BC78" s="940" t="s">
        <v>1452</v>
      </c>
      <c r="BD78" s="904">
        <f>BD56*BE78</f>
        <v>6974623936.6202688</v>
      </c>
      <c r="BE78" s="1065">
        <v>0.05</v>
      </c>
      <c r="BF78" s="898" t="s">
        <v>1450</v>
      </c>
      <c r="BG78" s="905"/>
      <c r="BH78" s="255"/>
    </row>
    <row r="79" spans="3:91"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AY79" s="88"/>
      <c r="AZ79" s="88"/>
      <c r="BA79" s="88"/>
      <c r="BB79" s="88"/>
      <c r="BC79" s="940" t="s">
        <v>1454</v>
      </c>
      <c r="BD79" s="904">
        <f>BD56*BE79</f>
        <v>6974623936.6202688</v>
      </c>
      <c r="BE79" s="1065">
        <v>0.05</v>
      </c>
      <c r="BF79" s="898" t="s">
        <v>1455</v>
      </c>
      <c r="BG79" s="905"/>
      <c r="BH79" s="255"/>
    </row>
    <row r="80" spans="3:91"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AY80" s="88"/>
      <c r="AZ80" s="88"/>
      <c r="BA80" s="88"/>
      <c r="BB80" s="88"/>
      <c r="BC80" s="940" t="s">
        <v>1326</v>
      </c>
      <c r="BD80" s="904">
        <f>BD56*BE80</f>
        <v>5579699149.2962151</v>
      </c>
      <c r="BE80" s="1065">
        <v>0.04</v>
      </c>
      <c r="BF80" s="898" t="s">
        <v>1348</v>
      </c>
      <c r="BG80" s="905"/>
      <c r="BH80" s="251"/>
    </row>
    <row r="81" spans="18:61"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AY81" s="88"/>
      <c r="AZ81" s="88"/>
      <c r="BA81" s="88"/>
      <c r="BB81" s="88"/>
      <c r="BC81" s="940" t="s">
        <v>1298</v>
      </c>
      <c r="BD81" s="930">
        <f>BD56*BE81</f>
        <v>5579699149.2962151</v>
      </c>
      <c r="BE81" s="931">
        <v>0.04</v>
      </c>
      <c r="BF81" s="898" t="s">
        <v>1363</v>
      </c>
      <c r="BG81" s="905"/>
      <c r="BH81" s="251"/>
    </row>
    <row r="82" spans="18:61"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AY82" s="88"/>
      <c r="AZ82" s="88"/>
      <c r="BA82" s="88"/>
      <c r="BB82" s="88"/>
      <c r="BC82" s="942"/>
      <c r="BD82" s="1067"/>
      <c r="BE82" s="1068">
        <f>SUM(BE58:BE81)</f>
        <v>1.0176445752154486</v>
      </c>
      <c r="BF82" s="1069"/>
      <c r="BG82" s="1070"/>
      <c r="BH82" s="251"/>
    </row>
    <row r="83" spans="18:61"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AY83" s="88"/>
      <c r="AZ83" s="88"/>
      <c r="BA83" s="88"/>
      <c r="BB83" s="88"/>
      <c r="BC83" s="941" t="s">
        <v>1321</v>
      </c>
      <c r="BD83" s="904">
        <f>BD56*BE83</f>
        <v>-2461285532.9832907</v>
      </c>
      <c r="BE83" s="1065">
        <f>100%-BE82</f>
        <v>-1.7644575215448599E-2</v>
      </c>
      <c r="BF83" s="898" t="s">
        <v>148</v>
      </c>
      <c r="BG83" s="905"/>
      <c r="BH83" s="251"/>
    </row>
    <row r="84" spans="18:61"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AY84" s="88"/>
      <c r="AZ84" s="88"/>
      <c r="BA84" s="88"/>
      <c r="BB84" s="88"/>
      <c r="BC84" s="943" t="s">
        <v>1322</v>
      </c>
      <c r="BD84" s="1071">
        <f>SUM(BD58:BD83)</f>
        <v>139492478732.40536</v>
      </c>
      <c r="BE84" s="1072">
        <f>BE82+BE83</f>
        <v>1</v>
      </c>
      <c r="BF84" s="1073" t="s">
        <v>59</v>
      </c>
      <c r="BG84" s="1074"/>
      <c r="BH84" s="251"/>
    </row>
    <row r="85" spans="18:61" x14ac:dyDescent="0.3">
      <c r="R85" s="88"/>
      <c r="S85" s="88"/>
      <c r="T85" s="88"/>
      <c r="U85" s="88"/>
      <c r="V85" s="88"/>
      <c r="AD85" s="960">
        <f t="shared" si="32"/>
        <v>2027</v>
      </c>
      <c r="AE85" s="691">
        <f t="shared" si="31"/>
        <v>7140375591.7544937</v>
      </c>
      <c r="AF85" s="963">
        <f t="shared" si="28"/>
        <v>2.5000000000000001E-2</v>
      </c>
      <c r="AG85" s="691">
        <f t="shared" si="29"/>
        <v>178509389.79386234</v>
      </c>
      <c r="AY85" s="88"/>
      <c r="AZ85" s="88"/>
      <c r="BA85" s="88"/>
      <c r="BB85" s="88"/>
      <c r="BC85" s="943" t="s">
        <v>1329</v>
      </c>
      <c r="BD85" s="179">
        <f>BD59+BD60+BD61+BD62+BD63</f>
        <v>34873119683.101349</v>
      </c>
      <c r="BE85" s="160"/>
      <c r="BF85" s="160" t="s">
        <v>1364</v>
      </c>
      <c r="BG85" s="303"/>
      <c r="BH85" s="251"/>
    </row>
    <row r="86" spans="18:61" x14ac:dyDescent="0.3">
      <c r="AD86" s="960">
        <f t="shared" si="32"/>
        <v>2028</v>
      </c>
      <c r="AE86" s="691">
        <f t="shared" si="31"/>
        <v>7318884981.5483561</v>
      </c>
      <c r="AF86" s="963">
        <f t="shared" si="28"/>
        <v>2.5000000000000001E-2</v>
      </c>
      <c r="AG86" s="691">
        <f t="shared" si="29"/>
        <v>182972124.53870893</v>
      </c>
      <c r="AY86" s="88"/>
      <c r="AZ86" s="88"/>
      <c r="BA86" s="88"/>
      <c r="BB86" s="88"/>
      <c r="BC86" s="364"/>
      <c r="BD86" s="1075"/>
      <c r="BE86" s="1076"/>
      <c r="BF86" s="1076"/>
      <c r="BG86" s="1077"/>
      <c r="BH86" s="251"/>
    </row>
    <row r="87" spans="18:61" x14ac:dyDescent="0.3">
      <c r="AD87" s="960">
        <f t="shared" si="32"/>
        <v>2029</v>
      </c>
      <c r="AE87" s="691">
        <f t="shared" si="31"/>
        <v>7501857106.0870647</v>
      </c>
      <c r="AF87" s="963">
        <f t="shared" si="28"/>
        <v>2.5000000000000001E-2</v>
      </c>
      <c r="AG87" s="691">
        <f t="shared" si="29"/>
        <v>187546427.65217662</v>
      </c>
      <c r="AY87" s="88"/>
      <c r="AZ87" s="88"/>
      <c r="BA87" s="88"/>
      <c r="BB87" s="88"/>
      <c r="BC87" s="1007" t="s">
        <v>1336</v>
      </c>
      <c r="BD87" s="1066">
        <f>AA72</f>
        <v>36862284253.576042</v>
      </c>
      <c r="BE87" s="251" t="s">
        <v>1335</v>
      </c>
      <c r="BF87" s="251"/>
      <c r="BG87" s="251"/>
      <c r="BH87" s="251"/>
    </row>
    <row r="88" spans="18:61" x14ac:dyDescent="0.3">
      <c r="AD88" s="960">
        <f t="shared" si="32"/>
        <v>2030</v>
      </c>
      <c r="AE88" s="691">
        <f t="shared" si="31"/>
        <v>7689403533.7392416</v>
      </c>
      <c r="AF88" s="963">
        <f t="shared" si="28"/>
        <v>2.5000000000000001E-2</v>
      </c>
      <c r="AG88" s="691">
        <f t="shared" si="29"/>
        <v>192235088.34348106</v>
      </c>
      <c r="AY88" s="88"/>
      <c r="AZ88" s="88"/>
      <c r="BA88" s="88"/>
      <c r="BB88" s="88"/>
      <c r="BC88" s="1008" t="s">
        <v>1337</v>
      </c>
      <c r="BD88" s="1009">
        <f>W72</f>
        <v>1989164570.4746923</v>
      </c>
      <c r="BE88" s="898" t="s">
        <v>1338</v>
      </c>
      <c r="BF88" s="898"/>
      <c r="BG88" s="251"/>
      <c r="BH88" s="251"/>
    </row>
    <row r="89" spans="18:61" x14ac:dyDescent="0.3">
      <c r="AD89" s="960">
        <f t="shared" si="32"/>
        <v>2031</v>
      </c>
      <c r="AE89" s="691">
        <f t="shared" si="31"/>
        <v>7881638622.0827227</v>
      </c>
      <c r="AF89" s="963">
        <f t="shared" si="28"/>
        <v>2.5000000000000001E-2</v>
      </c>
      <c r="AG89" s="691">
        <f t="shared" si="29"/>
        <v>197040965.55206808</v>
      </c>
      <c r="AY89" s="88"/>
      <c r="AZ89" s="88"/>
      <c r="BA89" s="88"/>
      <c r="BB89" s="88"/>
      <c r="BC89" s="106"/>
      <c r="BD89" s="745"/>
      <c r="BE89" s="251"/>
      <c r="BF89" s="251"/>
      <c r="BG89" s="251"/>
      <c r="BH89" s="251"/>
      <c r="BI89" s="252"/>
    </row>
    <row r="90" spans="18:61" x14ac:dyDescent="0.3">
      <c r="AD90" s="960">
        <f t="shared" si="32"/>
        <v>2032</v>
      </c>
      <c r="AE90" s="691">
        <f t="shared" si="31"/>
        <v>8078679587.6347904</v>
      </c>
      <c r="AF90" s="963">
        <f t="shared" si="28"/>
        <v>2.5000000000000001E-2</v>
      </c>
      <c r="AG90" s="691">
        <f t="shared" si="29"/>
        <v>201966989.69086978</v>
      </c>
      <c r="AY90" s="88"/>
      <c r="AZ90" s="88"/>
      <c r="BA90" s="88"/>
      <c r="BB90" s="88"/>
      <c r="BD90" s="999" t="s">
        <v>1355</v>
      </c>
      <c r="BE90" s="252"/>
      <c r="BF90" s="252"/>
      <c r="BG90" s="252"/>
      <c r="BH90" s="252"/>
      <c r="BI90" s="252"/>
    </row>
    <row r="91" spans="18:61" x14ac:dyDescent="0.3">
      <c r="AD91" s="960">
        <f t="shared" si="32"/>
        <v>2033</v>
      </c>
      <c r="AE91" s="691">
        <f t="shared" si="31"/>
        <v>8280646577.3256598</v>
      </c>
      <c r="AF91" s="963">
        <f t="shared" si="28"/>
        <v>2.5000000000000001E-2</v>
      </c>
      <c r="AG91" s="691">
        <f t="shared" si="29"/>
        <v>207016164.4331415</v>
      </c>
      <c r="AY91" s="88"/>
      <c r="AZ91" s="88"/>
      <c r="BA91" s="88"/>
      <c r="BB91" s="88"/>
      <c r="BE91" s="252"/>
      <c r="BF91" s="252"/>
      <c r="BG91" s="252"/>
      <c r="BH91" s="252"/>
      <c r="BI91" s="252"/>
    </row>
    <row r="92" spans="18:61" x14ac:dyDescent="0.3">
      <c r="AD92" s="960">
        <f t="shared" si="32"/>
        <v>2034</v>
      </c>
      <c r="AE92" s="691">
        <f t="shared" si="31"/>
        <v>8487662741.7588015</v>
      </c>
      <c r="AF92" s="963">
        <f t="shared" si="28"/>
        <v>2.5000000000000001E-2</v>
      </c>
      <c r="AG92" s="691">
        <f t="shared" si="29"/>
        <v>212191568.54397005</v>
      </c>
      <c r="AY92" s="88"/>
      <c r="AZ92" s="88"/>
      <c r="BA92" s="88"/>
      <c r="BB92" s="252"/>
      <c r="BE92" s="252"/>
      <c r="BF92" s="252"/>
      <c r="BG92" s="252"/>
      <c r="BH92" s="252"/>
      <c r="BI92" s="252"/>
    </row>
    <row r="93" spans="18:61" x14ac:dyDescent="0.3">
      <c r="AD93" s="960">
        <f t="shared" si="32"/>
        <v>2035</v>
      </c>
      <c r="AE93" s="691">
        <f t="shared" si="31"/>
        <v>8699854310.3027706</v>
      </c>
      <c r="AF93" s="963">
        <f t="shared" si="28"/>
        <v>2.5000000000000001E-2</v>
      </c>
      <c r="AG93" s="691">
        <f t="shared" si="29"/>
        <v>217496357.75756928</v>
      </c>
      <c r="BE93" s="252"/>
      <c r="BF93" s="252"/>
      <c r="BG93" s="252"/>
      <c r="BH93" s="252"/>
      <c r="BI93" s="252"/>
    </row>
    <row r="94" spans="18:61" x14ac:dyDescent="0.3">
      <c r="AD94" s="960">
        <f t="shared" si="32"/>
        <v>2036</v>
      </c>
      <c r="AE94" s="691">
        <f t="shared" si="31"/>
        <v>8917350668.060339</v>
      </c>
      <c r="AF94" s="963">
        <f t="shared" si="28"/>
        <v>2.5000000000000001E-2</v>
      </c>
      <c r="AG94" s="691">
        <f t="shared" si="29"/>
        <v>222933766.70150849</v>
      </c>
      <c r="BE94" s="252"/>
      <c r="BF94" s="252"/>
      <c r="BG94" s="252"/>
      <c r="BH94" s="252"/>
      <c r="BI94" s="252"/>
    </row>
    <row r="95" spans="18:61" x14ac:dyDescent="0.3">
      <c r="AD95" s="960">
        <f t="shared" si="32"/>
        <v>2037</v>
      </c>
      <c r="AE95" s="691">
        <f t="shared" si="31"/>
        <v>9140284434.7618465</v>
      </c>
      <c r="AF95" s="963">
        <f t="shared" si="28"/>
        <v>2.5000000000000001E-2</v>
      </c>
      <c r="AG95" s="691">
        <f t="shared" si="29"/>
        <v>228507110.86904618</v>
      </c>
      <c r="BE95" s="252"/>
      <c r="BF95" s="252"/>
      <c r="BG95" s="252"/>
      <c r="BH95" s="252"/>
      <c r="BI95" s="252"/>
    </row>
    <row r="96" spans="18:61" x14ac:dyDescent="0.3">
      <c r="AD96" s="960">
        <f t="shared" si="32"/>
        <v>2038</v>
      </c>
      <c r="AE96" s="691">
        <f t="shared" si="31"/>
        <v>9368791545.6308918</v>
      </c>
      <c r="AF96" s="963">
        <f t="shared" si="28"/>
        <v>2.5000000000000001E-2</v>
      </c>
      <c r="AG96" s="691">
        <f t="shared" si="29"/>
        <v>234219788.64077231</v>
      </c>
      <c r="BE96" s="252"/>
      <c r="BF96" s="252"/>
      <c r="BG96" s="252"/>
      <c r="BH96" s="252"/>
      <c r="BI96" s="252"/>
    </row>
    <row r="97" spans="30:61" x14ac:dyDescent="0.3">
      <c r="AD97" s="960">
        <f t="shared" si="32"/>
        <v>2039</v>
      </c>
      <c r="AE97" s="691">
        <f t="shared" si="31"/>
        <v>9603011334.2716637</v>
      </c>
      <c r="AF97" s="963">
        <f t="shared" si="28"/>
        <v>2.5000000000000001E-2</v>
      </c>
      <c r="AG97" s="691">
        <f t="shared" si="29"/>
        <v>240075283.35679162</v>
      </c>
      <c r="BE97" s="252"/>
      <c r="BF97" s="252"/>
      <c r="BG97" s="252"/>
      <c r="BH97" s="252"/>
      <c r="BI97" s="252"/>
    </row>
    <row r="98" spans="30:61" x14ac:dyDescent="0.3">
      <c r="AD98" s="960">
        <f t="shared" si="32"/>
        <v>2040</v>
      </c>
      <c r="AE98" s="691">
        <f t="shared" si="31"/>
        <v>9843086617.6284561</v>
      </c>
      <c r="AF98" s="963">
        <f t="shared" si="28"/>
        <v>2.5000000000000001E-2</v>
      </c>
      <c r="AG98" s="691">
        <f t="shared" si="29"/>
        <v>246077165.44071141</v>
      </c>
    </row>
    <row r="99" spans="30:61" x14ac:dyDescent="0.3">
      <c r="AD99" s="960">
        <f t="shared" si="32"/>
        <v>2041</v>
      </c>
      <c r="AE99" s="691">
        <f t="shared" si="31"/>
        <v>10089163783.069168</v>
      </c>
      <c r="AF99" s="963">
        <f t="shared" si="28"/>
        <v>2.5000000000000001E-2</v>
      </c>
      <c r="AG99" s="691">
        <f t="shared" si="29"/>
        <v>252229094.57672921</v>
      </c>
    </row>
    <row r="100" spans="30:61" x14ac:dyDescent="0.3">
      <c r="AD100" s="960">
        <f t="shared" si="32"/>
        <v>2042</v>
      </c>
      <c r="AE100" s="691">
        <f t="shared" si="31"/>
        <v>10341392877.645897</v>
      </c>
      <c r="AF100" s="963">
        <f t="shared" si="28"/>
        <v>2.5000000000000001E-2</v>
      </c>
      <c r="AG100" s="691">
        <f t="shared" si="29"/>
        <v>258534821.94114745</v>
      </c>
    </row>
    <row r="101" spans="30:61" x14ac:dyDescent="0.3">
      <c r="AD101" s="960">
        <f t="shared" si="32"/>
        <v>2043</v>
      </c>
      <c r="AE101" s="691">
        <f t="shared" si="31"/>
        <v>10599927699.587044</v>
      </c>
      <c r="AF101" s="963">
        <f t="shared" si="28"/>
        <v>2.5000000000000001E-2</v>
      </c>
      <c r="AG101" s="691">
        <f t="shared" si="29"/>
        <v>264998192.48967612</v>
      </c>
    </row>
    <row r="102" spans="30:61" x14ac:dyDescent="0.3">
      <c r="AD102" s="960">
        <f t="shared" si="32"/>
        <v>2044</v>
      </c>
      <c r="AE102" s="691">
        <f t="shared" si="31"/>
        <v>10864925892.076719</v>
      </c>
      <c r="AF102" s="963">
        <f t="shared" si="28"/>
        <v>2.5000000000000001E-2</v>
      </c>
      <c r="AG102" s="691">
        <f t="shared" si="29"/>
        <v>271623147.30191797</v>
      </c>
    </row>
    <row r="103" spans="30:61" x14ac:dyDescent="0.3">
      <c r="AD103" s="960">
        <f t="shared" si="32"/>
        <v>2045</v>
      </c>
      <c r="AE103" s="691">
        <f t="shared" si="31"/>
        <v>11136549039.378637</v>
      </c>
      <c r="AF103" s="963">
        <f t="shared" si="28"/>
        <v>2.5000000000000001E-2</v>
      </c>
      <c r="AG103" s="691">
        <f t="shared" si="29"/>
        <v>278413725.98446596</v>
      </c>
    </row>
    <row r="104" spans="30:61" x14ac:dyDescent="0.3">
      <c r="AD104" s="960">
        <f t="shared" si="32"/>
        <v>2046</v>
      </c>
      <c r="AE104" s="691">
        <f t="shared" si="31"/>
        <v>11414962765.363104</v>
      </c>
      <c r="AF104" s="963">
        <f t="shared" si="28"/>
        <v>2.5000000000000001E-2</v>
      </c>
      <c r="AG104" s="691">
        <f t="shared" si="29"/>
        <v>285374069.13407761</v>
      </c>
    </row>
    <row r="105" spans="30:61" x14ac:dyDescent="0.3">
      <c r="AD105" s="960">
        <f t="shared" si="32"/>
        <v>2047</v>
      </c>
      <c r="AE105" s="691">
        <f t="shared" si="31"/>
        <v>11700336834.497181</v>
      </c>
      <c r="AF105" s="963">
        <f t="shared" si="28"/>
        <v>2.5000000000000001E-2</v>
      </c>
      <c r="AG105" s="691">
        <f t="shared" si="29"/>
        <v>292508420.86242956</v>
      </c>
    </row>
    <row r="106" spans="30:61"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F06D-F600-40F3-B637-BF0D411D1DCD}">
  <dimension ref="A2:DE106"/>
  <sheetViews>
    <sheetView showGridLines="0" topLeftCell="BO59" workbookViewId="0">
      <selection activeCell="BT39" sqref="BT39:BW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0.5546875" style="1" bestFit="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90"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CM2" s="916"/>
      <c r="CQ2" s="916"/>
      <c r="DB2" s="917"/>
      <c r="DC2" s="916"/>
    </row>
    <row r="3" spans="1:107" ht="25.95" customHeight="1" x14ac:dyDescent="0.5">
      <c r="C3" s="570" t="s">
        <v>1446</v>
      </c>
      <c r="F3" s="1081"/>
      <c r="G3" s="648"/>
      <c r="BT3" s="999" t="s">
        <v>1355</v>
      </c>
    </row>
    <row r="4" spans="1:107"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row>
    <row r="5" spans="1:107" ht="18.600000000000001" x14ac:dyDescent="0.45">
      <c r="C5" s="37" t="s">
        <v>972</v>
      </c>
      <c r="D5" s="619"/>
      <c r="E5" s="408">
        <f>E11</f>
        <v>9001839722.8354263</v>
      </c>
      <c r="F5" s="1082">
        <v>1</v>
      </c>
      <c r="G5" s="408">
        <f>E5*F5</f>
        <v>9001839722.8354263</v>
      </c>
      <c r="H5" s="409">
        <v>0.96</v>
      </c>
      <c r="I5" s="408">
        <f>G5*H5</f>
        <v>8641766133.9220085</v>
      </c>
      <c r="J5" s="409">
        <v>1</v>
      </c>
      <c r="K5" s="408">
        <f>I5*J5</f>
        <v>8641766133.9220085</v>
      </c>
      <c r="L5" s="409">
        <f>H5</f>
        <v>0.96</v>
      </c>
      <c r="M5" s="408">
        <f>K5*L5</f>
        <v>8296095488.5651283</v>
      </c>
      <c r="N5" s="409">
        <f>J5</f>
        <v>1</v>
      </c>
      <c r="O5" s="408">
        <f>M5*N5</f>
        <v>8296095488.5651283</v>
      </c>
      <c r="P5" s="409">
        <f>L5</f>
        <v>0.96</v>
      </c>
      <c r="Q5" s="408">
        <f>O5*P5</f>
        <v>7964251669.0225229</v>
      </c>
      <c r="R5" s="409">
        <f>N5</f>
        <v>1</v>
      </c>
      <c r="S5" s="408">
        <f>Q5*R5</f>
        <v>7964251669.0225229</v>
      </c>
      <c r="T5" s="409">
        <f>P5</f>
        <v>0.96</v>
      </c>
      <c r="U5" s="408">
        <f>S5*T5</f>
        <v>7645681602.2616215</v>
      </c>
      <c r="V5" s="409">
        <f>R5</f>
        <v>1</v>
      </c>
      <c r="W5" s="408">
        <f>U5*V5</f>
        <v>7645681602.2616215</v>
      </c>
      <c r="X5" s="409">
        <f>T5</f>
        <v>0.96</v>
      </c>
      <c r="Y5" s="408">
        <f>W5*X5</f>
        <v>7339854338.1711559</v>
      </c>
      <c r="Z5" s="409">
        <f>V5</f>
        <v>1</v>
      </c>
      <c r="AA5" s="408">
        <f>Y5*Z5</f>
        <v>7339854338.1711559</v>
      </c>
      <c r="AB5" s="409">
        <f>X5</f>
        <v>0.96</v>
      </c>
      <c r="AC5" s="408">
        <f>AA5*AB5</f>
        <v>7046260164.644309</v>
      </c>
      <c r="AD5" s="409">
        <f>Z5</f>
        <v>1</v>
      </c>
      <c r="AE5" s="408">
        <f>AC5*AD5</f>
        <v>7046260164.644309</v>
      </c>
      <c r="AF5" s="409">
        <f>AB5</f>
        <v>0.96</v>
      </c>
      <c r="AG5" s="408">
        <f>AE5*AF5</f>
        <v>6764409758.0585365</v>
      </c>
      <c r="AH5" s="409">
        <f>AD5</f>
        <v>1</v>
      </c>
      <c r="AI5" s="408">
        <f>AG5*AH5</f>
        <v>6764409758.0585365</v>
      </c>
      <c r="AJ5" s="409">
        <f>AF5</f>
        <v>0.96</v>
      </c>
      <c r="AK5" s="408">
        <f>AI5*AJ5</f>
        <v>6493833367.7361946</v>
      </c>
      <c r="AL5" s="409">
        <f>AH5</f>
        <v>1</v>
      </c>
      <c r="AM5" s="408">
        <f>AK5*AL5</f>
        <v>6493833367.7361946</v>
      </c>
      <c r="AN5" s="409">
        <f>AJ5</f>
        <v>0.96</v>
      </c>
      <c r="AO5" s="408">
        <f>AM5*AN5</f>
        <v>6234080033.0267467</v>
      </c>
      <c r="AP5" s="409">
        <f>AL5</f>
        <v>1</v>
      </c>
      <c r="AQ5" s="408">
        <f>AO5*AP5</f>
        <v>6234080033.0267467</v>
      </c>
      <c r="AR5" s="409">
        <f>AN5</f>
        <v>0.96</v>
      </c>
      <c r="AS5" s="408">
        <f>AQ5*AR5</f>
        <v>5984716831.705677</v>
      </c>
      <c r="AT5" s="409">
        <f>AP5</f>
        <v>1</v>
      </c>
      <c r="AU5" s="408">
        <f>AS5*AT5</f>
        <v>5984716831.705677</v>
      </c>
      <c r="AV5" s="409">
        <f>AR5</f>
        <v>0.96</v>
      </c>
      <c r="AW5" s="408">
        <f>AU5*AV5</f>
        <v>5745328158.4374495</v>
      </c>
      <c r="AX5" s="409">
        <f>AT5</f>
        <v>1</v>
      </c>
      <c r="AY5" s="408">
        <f>AW5*AX5</f>
        <v>5745328158.4374495</v>
      </c>
      <c r="AZ5" s="409">
        <f>AV5</f>
        <v>0.96</v>
      </c>
      <c r="BA5" s="408">
        <f>AY5*AZ5</f>
        <v>5515515032.0999517</v>
      </c>
      <c r="BB5" s="409">
        <f>AX5</f>
        <v>1</v>
      </c>
      <c r="BC5" s="408">
        <f>BA5*BB5</f>
        <v>5515515032.0999517</v>
      </c>
      <c r="BD5" s="409">
        <f>AR5</f>
        <v>0.96</v>
      </c>
      <c r="BE5" s="408">
        <f>BC5*BD5</f>
        <v>5294894430.8159533</v>
      </c>
      <c r="BF5" s="409">
        <f>AT5</f>
        <v>1</v>
      </c>
      <c r="BG5" s="408">
        <f>BE5*BF5</f>
        <v>5294894430.8159533</v>
      </c>
      <c r="BH5" s="409">
        <f>BD5</f>
        <v>0.96</v>
      </c>
      <c r="BI5" s="408">
        <f>BG5*BH5</f>
        <v>5083098653.5833149</v>
      </c>
      <c r="BJ5" s="409">
        <f>BF5</f>
        <v>1</v>
      </c>
      <c r="BK5" s="408">
        <f>BI5*BJ5</f>
        <v>5083098653.5833149</v>
      </c>
      <c r="BL5" s="409">
        <f>AB5</f>
        <v>0.96</v>
      </c>
      <c r="BM5" s="408">
        <f>BK5*BL5</f>
        <v>4879774707.4399824</v>
      </c>
      <c r="BN5" s="409">
        <f>AD5</f>
        <v>1</v>
      </c>
      <c r="BO5" s="408">
        <f>BM5*BN5</f>
        <v>4879774707.4399824</v>
      </c>
      <c r="BP5" s="409">
        <f>BL5</f>
        <v>0.96</v>
      </c>
      <c r="BQ5" s="408">
        <f>BO5*BP5</f>
        <v>4684583719.1423826</v>
      </c>
      <c r="BR5" s="409">
        <f>BN5</f>
        <v>1</v>
      </c>
      <c r="BS5" s="408">
        <f>BQ5*BR5</f>
        <v>4684583719.1423826</v>
      </c>
      <c r="BT5" s="719">
        <f>G5+I5+M5+Q5+U5+Y5+AC5+AG5+AK5+AO5+AS5+AW5+BA5+BE5+BI5+BM5+BQ5</f>
        <v>112615983811.46835</v>
      </c>
      <c r="BV5" s="621">
        <f>BP5</f>
        <v>0.96</v>
      </c>
      <c r="BW5" s="622">
        <f>BS5*BV5</f>
        <v>4497200370.376687</v>
      </c>
      <c r="BX5" s="626"/>
      <c r="BY5" s="626"/>
      <c r="BZ5" s="627"/>
    </row>
    <row r="6" spans="1:107" x14ac:dyDescent="0.3">
      <c r="F6" s="1081"/>
      <c r="BT6" s="93"/>
      <c r="BZ6" s="628"/>
    </row>
    <row r="7" spans="1:107"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462" t="s">
        <v>749</v>
      </c>
      <c r="BM7" s="170" t="s">
        <v>1463</v>
      </c>
      <c r="BN7" s="175" t="s">
        <v>297</v>
      </c>
      <c r="BO7" s="170" t="s">
        <v>59</v>
      </c>
      <c r="BP7" s="301" t="s">
        <v>749</v>
      </c>
      <c r="BQ7" s="121" t="s">
        <v>1464</v>
      </c>
      <c r="BR7" s="173" t="s">
        <v>297</v>
      </c>
      <c r="BS7" s="121" t="s">
        <v>59</v>
      </c>
      <c r="BT7" s="121" t="s">
        <v>1457</v>
      </c>
      <c r="BV7" s="588" t="s">
        <v>1367</v>
      </c>
      <c r="BW7" s="121" t="s">
        <v>1372</v>
      </c>
      <c r="BZ7" s="628"/>
    </row>
    <row r="8" spans="1:107" x14ac:dyDescent="0.3">
      <c r="B8" s="584"/>
      <c r="C8" s="7"/>
      <c r="E8" s="875">
        <f>BT47</f>
        <v>18003679445.670853</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586" t="s">
        <v>1371</v>
      </c>
      <c r="BM8" s="470"/>
      <c r="BN8" s="471"/>
      <c r="BO8" s="470"/>
      <c r="BP8" s="587" t="s">
        <v>1371</v>
      </c>
      <c r="BQ8" s="303"/>
      <c r="BR8" s="179"/>
      <c r="BS8" s="303"/>
      <c r="BT8" s="126"/>
      <c r="BV8" s="589" t="s">
        <v>1371</v>
      </c>
      <c r="BW8" s="303"/>
      <c r="BZ8" s="628"/>
    </row>
    <row r="9" spans="1:107"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122"/>
      <c r="BQ9" s="459" t="s">
        <v>282</v>
      </c>
      <c r="BR9" s="122"/>
      <c r="BS9" s="8"/>
      <c r="BT9" s="126"/>
      <c r="BV9" s="122"/>
      <c r="BW9" s="459" t="s">
        <v>282</v>
      </c>
      <c r="BZ9" s="628"/>
    </row>
    <row r="10" spans="1:107" ht="16.2" thickBot="1" x14ac:dyDescent="0.35">
      <c r="B10" s="585"/>
      <c r="C10" s="1211"/>
      <c r="D10" s="630" t="s">
        <v>953</v>
      </c>
      <c r="E10" s="994">
        <f>BU53</f>
        <v>1024</v>
      </c>
      <c r="F10" s="1085">
        <v>0.25</v>
      </c>
      <c r="G10" s="130">
        <f>E14*F10</f>
        <v>250146268.20271733</v>
      </c>
      <c r="H10" s="460">
        <v>0.5</v>
      </c>
      <c r="I10" s="130">
        <f>G10*H10</f>
        <v>125073134.10135867</v>
      </c>
      <c r="J10" s="460">
        <v>1</v>
      </c>
      <c r="K10" s="458">
        <f>I10*J10</f>
        <v>125073134.10135867</v>
      </c>
      <c r="L10" s="129">
        <f>H10</f>
        <v>0.5</v>
      </c>
      <c r="M10" s="458">
        <f>K10*L10</f>
        <v>62536567.050679334</v>
      </c>
      <c r="N10" s="129">
        <f>J10</f>
        <v>1</v>
      </c>
      <c r="O10" s="458">
        <f>M10*N10</f>
        <v>62536567.050679334</v>
      </c>
      <c r="P10" s="129">
        <f>L10</f>
        <v>0.5</v>
      </c>
      <c r="Q10" s="458">
        <f>O10*P10</f>
        <v>31268283.525339667</v>
      </c>
      <c r="R10" s="129">
        <f>N10</f>
        <v>1</v>
      </c>
      <c r="S10" s="458">
        <f>Q10*R10</f>
        <v>31268283.525339667</v>
      </c>
      <c r="T10" s="129">
        <f>P10</f>
        <v>0.5</v>
      </c>
      <c r="U10" s="458">
        <f>S10*T10</f>
        <v>15634141.762669833</v>
      </c>
      <c r="V10" s="129">
        <f>R10</f>
        <v>1</v>
      </c>
      <c r="W10" s="458">
        <f>U10*V10</f>
        <v>15634141.762669833</v>
      </c>
      <c r="X10" s="129">
        <f>T10</f>
        <v>0.5</v>
      </c>
      <c r="Y10" s="458">
        <f>W10*X10</f>
        <v>7817070.8813349167</v>
      </c>
      <c r="Z10" s="129">
        <f>V10</f>
        <v>1</v>
      </c>
      <c r="AA10" s="458">
        <f>Y10*Z10</f>
        <v>7817070.8813349167</v>
      </c>
      <c r="AB10" s="129">
        <f>X10</f>
        <v>0.5</v>
      </c>
      <c r="AC10" s="458">
        <f>AA10*AB10</f>
        <v>3908535.4406674583</v>
      </c>
      <c r="AD10" s="129">
        <f>Z10</f>
        <v>1</v>
      </c>
      <c r="AE10" s="458">
        <f>AC10*AD10</f>
        <v>3908535.4406674583</v>
      </c>
      <c r="AF10" s="129">
        <f>AB10</f>
        <v>0.5</v>
      </c>
      <c r="AG10" s="458">
        <f>AE10*AF10</f>
        <v>1954267.7203337292</v>
      </c>
      <c r="AH10" s="129">
        <f>AD10</f>
        <v>1</v>
      </c>
      <c r="AI10" s="458">
        <f>AG10*AH10</f>
        <v>1954267.7203337292</v>
      </c>
      <c r="AJ10" s="129">
        <f>AF10</f>
        <v>0.5</v>
      </c>
      <c r="AK10" s="458">
        <f>AI10*AJ10</f>
        <v>977133.86016686459</v>
      </c>
      <c r="AL10" s="129">
        <f>AH10</f>
        <v>1</v>
      </c>
      <c r="AM10" s="458">
        <f>AK10*AL10</f>
        <v>977133.86016686459</v>
      </c>
      <c r="AN10" s="129">
        <f>AJ10</f>
        <v>0.5</v>
      </c>
      <c r="AO10" s="458">
        <f>AM10*AN10</f>
        <v>488566.93008343229</v>
      </c>
      <c r="AP10" s="129">
        <f>AL10</f>
        <v>1</v>
      </c>
      <c r="AQ10" s="458">
        <f>AO10*AP10</f>
        <v>488566.93008343229</v>
      </c>
      <c r="AR10" s="129">
        <f>AN10</f>
        <v>0.5</v>
      </c>
      <c r="AS10" s="458">
        <f>AQ10*AR10</f>
        <v>244283.46504171615</v>
      </c>
      <c r="AT10" s="129">
        <f>AP10</f>
        <v>1</v>
      </c>
      <c r="AU10" s="458">
        <f>AS10*AT10</f>
        <v>244283.46504171615</v>
      </c>
      <c r="AV10" s="129">
        <f>AR10</f>
        <v>0.5</v>
      </c>
      <c r="AW10" s="458">
        <f>AU10*AV10</f>
        <v>122141.73252085807</v>
      </c>
      <c r="AX10" s="129">
        <f>AT10</f>
        <v>1</v>
      </c>
      <c r="AY10" s="458">
        <f>AW10*AX10</f>
        <v>122141.73252085807</v>
      </c>
      <c r="AZ10" s="129">
        <f>AV10</f>
        <v>0.5</v>
      </c>
      <c r="BA10" s="458">
        <f>AY10*AZ10</f>
        <v>61070.866260429037</v>
      </c>
      <c r="BB10" s="129">
        <f>AX10</f>
        <v>1</v>
      </c>
      <c r="BC10" s="458">
        <f>BA10*BB10</f>
        <v>61070.866260429037</v>
      </c>
      <c r="BD10" s="129">
        <f>AR10</f>
        <v>0.5</v>
      </c>
      <c r="BE10" s="458">
        <f>BC10*BD10</f>
        <v>30535.433130214518</v>
      </c>
      <c r="BF10" s="129">
        <f>AT10</f>
        <v>1</v>
      </c>
      <c r="BG10" s="458">
        <f>BE10*BF10</f>
        <v>30535.433130214518</v>
      </c>
      <c r="BH10" s="129">
        <f>BD10</f>
        <v>0.5</v>
      </c>
      <c r="BI10" s="458">
        <f>BG10*BH10</f>
        <v>15267.716565107259</v>
      </c>
      <c r="BJ10" s="129">
        <f>BF10</f>
        <v>1</v>
      </c>
      <c r="BK10" s="458">
        <f>BI10*BJ10</f>
        <v>15267.716565107259</v>
      </c>
      <c r="BL10" s="129">
        <f>AB10</f>
        <v>0.5</v>
      </c>
      <c r="BM10" s="458">
        <f>BK10*BL10</f>
        <v>7633.8582825536296</v>
      </c>
      <c r="BN10" s="129">
        <f>AD10</f>
        <v>1</v>
      </c>
      <c r="BO10" s="458">
        <f>BM10*BN10</f>
        <v>7633.8582825536296</v>
      </c>
      <c r="BP10" s="129">
        <f>BL10</f>
        <v>0.5</v>
      </c>
      <c r="BQ10" s="458">
        <f>BO10*BP10</f>
        <v>3816.9291412768148</v>
      </c>
      <c r="BR10" s="129">
        <f>BN10</f>
        <v>1</v>
      </c>
      <c r="BS10" s="458">
        <f>BQ10*BR10</f>
        <v>3816.9291412768148</v>
      </c>
      <c r="BT10" s="719">
        <f>G10+I10+M10+Q10+U10+Y10+AC10+AG10+AK10+AO10+AS10+AW10+BA10+BE10+BI10+BM10+BQ10</f>
        <v>500288719.47629344</v>
      </c>
      <c r="BV10" s="590">
        <f>BP10</f>
        <v>0.5</v>
      </c>
      <c r="BW10" s="458">
        <f>BS10*BV10</f>
        <v>1908.4645706384074</v>
      </c>
      <c r="BX10" s="623"/>
      <c r="BY10" s="624"/>
      <c r="BZ10" s="628"/>
    </row>
    <row r="11" spans="1:107" ht="16.2" thickBot="1" x14ac:dyDescent="0.35">
      <c r="B11" s="585"/>
      <c r="C11" s="1078"/>
      <c r="D11" s="630" t="s">
        <v>1291</v>
      </c>
      <c r="E11" s="631">
        <f>E8/2</f>
        <v>9001839722.8354263</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122"/>
      <c r="BQ11" s="457" t="s">
        <v>283</v>
      </c>
      <c r="BR11" s="122"/>
      <c r="BS11" s="8"/>
      <c r="BT11" s="126"/>
      <c r="BV11" s="122"/>
      <c r="BW11" s="457" t="s">
        <v>283</v>
      </c>
      <c r="BX11" s="623"/>
      <c r="BY11" s="623"/>
      <c r="BZ11" s="628"/>
    </row>
    <row r="12" spans="1:107" ht="16.2" thickBot="1" x14ac:dyDescent="0.35">
      <c r="B12" s="584"/>
      <c r="E12" s="997">
        <f>E9*E10</f>
        <v>0</v>
      </c>
      <c r="F12" s="1086">
        <v>0.25</v>
      </c>
      <c r="G12" s="135">
        <f>E14*F12</f>
        <v>250146268.20271733</v>
      </c>
      <c r="H12" s="461">
        <v>0.96</v>
      </c>
      <c r="I12" s="135">
        <f>G12*H12</f>
        <v>240140417.47460863</v>
      </c>
      <c r="J12" s="461">
        <v>1</v>
      </c>
      <c r="K12" s="440">
        <f>I12*J12</f>
        <v>240140417.47460863</v>
      </c>
      <c r="L12" s="133">
        <f>H12</f>
        <v>0.96</v>
      </c>
      <c r="M12" s="440">
        <f>K12*L12</f>
        <v>230534800.77562428</v>
      </c>
      <c r="N12" s="133">
        <f>J12</f>
        <v>1</v>
      </c>
      <c r="O12" s="440">
        <f>M12*N12</f>
        <v>230534800.77562428</v>
      </c>
      <c r="P12" s="133">
        <f>L12</f>
        <v>0.96</v>
      </c>
      <c r="Q12" s="440">
        <f>O12*P12</f>
        <v>221313408.74459928</v>
      </c>
      <c r="R12" s="133">
        <f>N12</f>
        <v>1</v>
      </c>
      <c r="S12" s="440">
        <f>Q12*R12</f>
        <v>221313408.74459928</v>
      </c>
      <c r="T12" s="133">
        <f>P12</f>
        <v>0.96</v>
      </c>
      <c r="U12" s="440">
        <f>S12*T12</f>
        <v>212460872.3948153</v>
      </c>
      <c r="V12" s="133">
        <f>R12</f>
        <v>1</v>
      </c>
      <c r="W12" s="440">
        <f>U12*V12</f>
        <v>212460872.3948153</v>
      </c>
      <c r="X12" s="133">
        <f>T12</f>
        <v>0.96</v>
      </c>
      <c r="Y12" s="440">
        <f>W12*X12</f>
        <v>203962437.49902266</v>
      </c>
      <c r="Z12" s="133">
        <f>V12</f>
        <v>1</v>
      </c>
      <c r="AA12" s="440">
        <f>Y12*Z12</f>
        <v>203962437.49902266</v>
      </c>
      <c r="AB12" s="133">
        <f>X12</f>
        <v>0.96</v>
      </c>
      <c r="AC12" s="440">
        <f>AA12*AB12</f>
        <v>195803939.99906176</v>
      </c>
      <c r="AD12" s="133">
        <f>Z12</f>
        <v>1</v>
      </c>
      <c r="AE12" s="440">
        <f>AC12*AD12</f>
        <v>195803939.99906176</v>
      </c>
      <c r="AF12" s="133">
        <f>AB12</f>
        <v>0.96</v>
      </c>
      <c r="AG12" s="440">
        <f>AE12*AF12</f>
        <v>187971782.39909929</v>
      </c>
      <c r="AH12" s="133">
        <f>AD12</f>
        <v>1</v>
      </c>
      <c r="AI12" s="440">
        <f>AG12*AH12</f>
        <v>187971782.39909929</v>
      </c>
      <c r="AJ12" s="133">
        <f>AF12</f>
        <v>0.96</v>
      </c>
      <c r="AK12" s="440">
        <f>AI12*AJ12</f>
        <v>180452911.10313532</v>
      </c>
      <c r="AL12" s="133">
        <f>AH12</f>
        <v>1</v>
      </c>
      <c r="AM12" s="440">
        <f>AK12*AL12</f>
        <v>180452911.10313532</v>
      </c>
      <c r="AN12" s="133">
        <f>AJ12</f>
        <v>0.96</v>
      </c>
      <c r="AO12" s="440">
        <f>AM12*AN12</f>
        <v>173234794.6590099</v>
      </c>
      <c r="AP12" s="133">
        <f>AL12</f>
        <v>1</v>
      </c>
      <c r="AQ12" s="440">
        <f>AO12*AP12</f>
        <v>173234794.6590099</v>
      </c>
      <c r="AR12" s="133">
        <f>AN12</f>
        <v>0.96</v>
      </c>
      <c r="AS12" s="440">
        <f>AQ12*AR12</f>
        <v>166305402.87264949</v>
      </c>
      <c r="AT12" s="133">
        <f>AP12</f>
        <v>1</v>
      </c>
      <c r="AU12" s="440">
        <f>AS12*AT12</f>
        <v>166305402.87264949</v>
      </c>
      <c r="AV12" s="133">
        <f>AR12</f>
        <v>0.96</v>
      </c>
      <c r="AW12" s="440">
        <f>AU12*AV12</f>
        <v>159653186.75774351</v>
      </c>
      <c r="AX12" s="133">
        <f>AT12</f>
        <v>1</v>
      </c>
      <c r="AY12" s="440">
        <f>AW12*AX12</f>
        <v>159653186.75774351</v>
      </c>
      <c r="AZ12" s="133">
        <f>AV12</f>
        <v>0.96</v>
      </c>
      <c r="BA12" s="440">
        <f>AY12*AZ12</f>
        <v>153267059.28743377</v>
      </c>
      <c r="BB12" s="133">
        <f>AX12</f>
        <v>1</v>
      </c>
      <c r="BC12" s="440">
        <f>BA12*BB12</f>
        <v>153267059.28743377</v>
      </c>
      <c r="BD12" s="133">
        <f>AR12</f>
        <v>0.96</v>
      </c>
      <c r="BE12" s="440">
        <f>BC12*BD12</f>
        <v>147136376.91593641</v>
      </c>
      <c r="BF12" s="133">
        <f>AT12</f>
        <v>1</v>
      </c>
      <c r="BG12" s="440">
        <f>BE12*BF12</f>
        <v>147136376.91593641</v>
      </c>
      <c r="BH12" s="133">
        <f>BD12</f>
        <v>0.96</v>
      </c>
      <c r="BI12" s="440">
        <f>BG12*BH12</f>
        <v>141250921.83929896</v>
      </c>
      <c r="BJ12" s="133">
        <f>BF12</f>
        <v>1</v>
      </c>
      <c r="BK12" s="440">
        <f>BI12*BJ12</f>
        <v>141250921.83929896</v>
      </c>
      <c r="BL12" s="133">
        <f>AB12</f>
        <v>0.96</v>
      </c>
      <c r="BM12" s="440">
        <f>BK12*BL12</f>
        <v>135600884.965727</v>
      </c>
      <c r="BN12" s="133">
        <f>AD12</f>
        <v>1</v>
      </c>
      <c r="BO12" s="440">
        <f>BM12*BN12</f>
        <v>135600884.965727</v>
      </c>
      <c r="BP12" s="133">
        <f>BL12</f>
        <v>0.96</v>
      </c>
      <c r="BQ12" s="440">
        <f>BO12*BP12</f>
        <v>130176849.56709792</v>
      </c>
      <c r="BR12" s="133">
        <f>BN12</f>
        <v>1</v>
      </c>
      <c r="BS12" s="440">
        <f>BQ12*BR12</f>
        <v>130176849.56709792</v>
      </c>
      <c r="BT12" s="719">
        <f>G12+I12+M12+Q12+U12+Y12+AC12+AG12+AK12+AO12+AS12+AW12+BA12+BE12+BI12+BM12+BQ12</f>
        <v>3129412315.457581</v>
      </c>
      <c r="BV12" s="591">
        <f>BP12</f>
        <v>0.96</v>
      </c>
      <c r="BW12" s="440">
        <f>BS12*BV12</f>
        <v>124969775.58441399</v>
      </c>
      <c r="BX12" s="623"/>
      <c r="BY12" s="624"/>
      <c r="BZ12" s="628"/>
    </row>
    <row r="13" spans="1:107"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122"/>
      <c r="BQ13" s="451" t="s">
        <v>284</v>
      </c>
      <c r="BR13" s="122"/>
      <c r="BS13" s="8"/>
      <c r="BT13" s="126"/>
      <c r="BV13" s="122"/>
      <c r="BW13" s="451" t="s">
        <v>284</v>
      </c>
      <c r="BX13" s="623"/>
      <c r="BY13" s="623"/>
      <c r="BZ13" s="628"/>
    </row>
    <row r="14" spans="1:107" ht="16.2" thickBot="1" x14ac:dyDescent="0.35">
      <c r="A14" s="162"/>
      <c r="B14" s="162"/>
      <c r="C14" s="137" t="s">
        <v>291</v>
      </c>
      <c r="D14" s="1212">
        <v>0.111153397929607</v>
      </c>
      <c r="E14" s="139">
        <f>E11*D14</f>
        <v>1000585072.8108693</v>
      </c>
      <c r="F14" s="1088">
        <v>0.5</v>
      </c>
      <c r="G14" s="139">
        <f>E14*F14</f>
        <v>500292536.40543467</v>
      </c>
      <c r="H14" s="463">
        <v>0.96</v>
      </c>
      <c r="I14" s="139">
        <f>G14*H14</f>
        <v>480280834.94921726</v>
      </c>
      <c r="J14" s="463">
        <v>1</v>
      </c>
      <c r="K14" s="441">
        <f>I14*J14</f>
        <v>480280834.94921726</v>
      </c>
      <c r="L14" s="140">
        <f>H14</f>
        <v>0.96</v>
      </c>
      <c r="M14" s="441">
        <f>K14*L14</f>
        <v>461069601.55124855</v>
      </c>
      <c r="N14" s="140">
        <f>J14</f>
        <v>1</v>
      </c>
      <c r="O14" s="441">
        <f>M14*N14</f>
        <v>461069601.55124855</v>
      </c>
      <c r="P14" s="140">
        <f>L14</f>
        <v>0.96</v>
      </c>
      <c r="Q14" s="441">
        <f>O14*P14</f>
        <v>442626817.48919857</v>
      </c>
      <c r="R14" s="140">
        <f>N14</f>
        <v>1</v>
      </c>
      <c r="S14" s="441">
        <f>Q14*R14</f>
        <v>442626817.48919857</v>
      </c>
      <c r="T14" s="140">
        <f>P14</f>
        <v>0.96</v>
      </c>
      <c r="U14" s="441">
        <f>S14*T14</f>
        <v>424921744.78963059</v>
      </c>
      <c r="V14" s="140">
        <f>R14</f>
        <v>1</v>
      </c>
      <c r="W14" s="441">
        <f>U14*V14</f>
        <v>424921744.78963059</v>
      </c>
      <c r="X14" s="140">
        <f>T14</f>
        <v>0.96</v>
      </c>
      <c r="Y14" s="441">
        <f>W14*X14</f>
        <v>407924874.99804533</v>
      </c>
      <c r="Z14" s="140">
        <f>V14</f>
        <v>1</v>
      </c>
      <c r="AA14" s="441">
        <f>Y14*Z14</f>
        <v>407924874.99804533</v>
      </c>
      <c r="AB14" s="140">
        <f>X14</f>
        <v>0.96</v>
      </c>
      <c r="AC14" s="441">
        <f>AA14*AB14</f>
        <v>391607879.99812353</v>
      </c>
      <c r="AD14" s="140">
        <f>Z14</f>
        <v>1</v>
      </c>
      <c r="AE14" s="441">
        <f>AC14*AD14</f>
        <v>391607879.99812353</v>
      </c>
      <c r="AF14" s="140">
        <f>AB14</f>
        <v>0.96</v>
      </c>
      <c r="AG14" s="441">
        <f>AE14*AF14</f>
        <v>375943564.79819858</v>
      </c>
      <c r="AH14" s="140">
        <f>AD14</f>
        <v>1</v>
      </c>
      <c r="AI14" s="441">
        <f>AG14*AH14</f>
        <v>375943564.79819858</v>
      </c>
      <c r="AJ14" s="140">
        <f>AF14</f>
        <v>0.96</v>
      </c>
      <c r="AK14" s="441">
        <f>AI14*AJ14</f>
        <v>360905822.20627064</v>
      </c>
      <c r="AL14" s="140">
        <f>AH14</f>
        <v>1</v>
      </c>
      <c r="AM14" s="441">
        <f>AK14*AL14</f>
        <v>360905822.20627064</v>
      </c>
      <c r="AN14" s="140">
        <f>AJ14</f>
        <v>0.96</v>
      </c>
      <c r="AO14" s="441">
        <f>AM14*AN14</f>
        <v>346469589.31801981</v>
      </c>
      <c r="AP14" s="140">
        <f>AL14</f>
        <v>1</v>
      </c>
      <c r="AQ14" s="441">
        <f>AO14*AP14</f>
        <v>346469589.31801981</v>
      </c>
      <c r="AR14" s="140">
        <f>AN14</f>
        <v>0.96</v>
      </c>
      <c r="AS14" s="441">
        <f>AQ14*AR14</f>
        <v>332610805.74529898</v>
      </c>
      <c r="AT14" s="140">
        <f>AP14</f>
        <v>1</v>
      </c>
      <c r="AU14" s="441">
        <f>AS14*AT14</f>
        <v>332610805.74529898</v>
      </c>
      <c r="AV14" s="140">
        <f>AR14</f>
        <v>0.96</v>
      </c>
      <c r="AW14" s="441">
        <f>AU14*AV14</f>
        <v>319306373.51548702</v>
      </c>
      <c r="AX14" s="140">
        <f>AT14</f>
        <v>1</v>
      </c>
      <c r="AY14" s="441">
        <f>AW14*AX14</f>
        <v>319306373.51548702</v>
      </c>
      <c r="AZ14" s="140">
        <f>AV14</f>
        <v>0.96</v>
      </c>
      <c r="BA14" s="441">
        <f>AY14*AZ14</f>
        <v>306534118.57486755</v>
      </c>
      <c r="BB14" s="140">
        <f>AX14</f>
        <v>1</v>
      </c>
      <c r="BC14" s="441">
        <f>BA14*BB14</f>
        <v>306534118.57486755</v>
      </c>
      <c r="BD14" s="140">
        <f>AR14</f>
        <v>0.96</v>
      </c>
      <c r="BE14" s="441">
        <f>BC14*BD14</f>
        <v>294272753.83187282</v>
      </c>
      <c r="BF14" s="140">
        <f>AT14</f>
        <v>1</v>
      </c>
      <c r="BG14" s="441">
        <f>BE14*BF14</f>
        <v>294272753.83187282</v>
      </c>
      <c r="BH14" s="140">
        <f>BD14</f>
        <v>0.96</v>
      </c>
      <c r="BI14" s="441">
        <f>BG14*BH14</f>
        <v>282501843.67859793</v>
      </c>
      <c r="BJ14" s="140">
        <f>BF14</f>
        <v>1</v>
      </c>
      <c r="BK14" s="441">
        <f>BI14*BJ14</f>
        <v>282501843.67859793</v>
      </c>
      <c r="BL14" s="140">
        <f>AB14</f>
        <v>0.96</v>
      </c>
      <c r="BM14" s="441">
        <f>BK14*BL14</f>
        <v>271201769.931454</v>
      </c>
      <c r="BN14" s="140">
        <f>AD14</f>
        <v>1</v>
      </c>
      <c r="BO14" s="441">
        <f>BM14*BN14</f>
        <v>271201769.931454</v>
      </c>
      <c r="BP14" s="140">
        <f>BL14</f>
        <v>0.96</v>
      </c>
      <c r="BQ14" s="441">
        <f>BO14*BP14</f>
        <v>260353699.13419583</v>
      </c>
      <c r="BR14" s="140">
        <f>BN14</f>
        <v>1</v>
      </c>
      <c r="BS14" s="441">
        <f>BQ14*BR14</f>
        <v>260353699.13419583</v>
      </c>
      <c r="BT14" s="719">
        <f>G14+I14+M14+Q14+U14+Y14+AC14+AG14+AK14+AO14+AS14+AW14+BA14+BE14+BI14+BM14+BQ14</f>
        <v>6258824630.9151621</v>
      </c>
      <c r="BV14" s="592">
        <f>BP14</f>
        <v>0.96</v>
      </c>
      <c r="BW14" s="441">
        <f>BS14*BV14</f>
        <v>249939551.16882798</v>
      </c>
      <c r="BX14" s="623"/>
      <c r="BY14" s="624"/>
      <c r="BZ14" s="628"/>
    </row>
    <row r="15" spans="1:107"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23"/>
      <c r="BY15" s="623"/>
      <c r="BZ15" s="628"/>
    </row>
    <row r="16" spans="1:107"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455"/>
      <c r="BQ16" s="454" t="s">
        <v>744</v>
      </c>
      <c r="BR16" s="141"/>
      <c r="BS16" s="164"/>
      <c r="BT16" s="126"/>
      <c r="BV16" s="455"/>
      <c r="BW16" s="454" t="s">
        <v>744</v>
      </c>
      <c r="BX16" s="625"/>
      <c r="BY16" s="625"/>
      <c r="BZ16" s="628"/>
      <c r="CM16" s="233"/>
      <c r="CQ16" s="233"/>
      <c r="DB16" s="345"/>
      <c r="DC16" s="233"/>
    </row>
    <row r="17" spans="1:109" ht="16.2" thickBot="1" x14ac:dyDescent="0.35">
      <c r="A17" s="18"/>
      <c r="B17" s="18"/>
      <c r="C17" s="397" t="s">
        <v>276</v>
      </c>
      <c r="D17" s="1213">
        <f>100%-D14-D21</f>
        <v>0.5625</v>
      </c>
      <c r="E17" s="399">
        <f>E11*D17</f>
        <v>5063534844.0949268</v>
      </c>
      <c r="F17" s="1090">
        <v>1</v>
      </c>
      <c r="G17" s="399">
        <f>E17*F17</f>
        <v>5063534844.0949268</v>
      </c>
      <c r="H17" s="464">
        <v>0.96</v>
      </c>
      <c r="I17" s="399">
        <f>G17*H17</f>
        <v>4860993450.33113</v>
      </c>
      <c r="J17" s="464">
        <v>1</v>
      </c>
      <c r="K17" s="453">
        <f>I17*J17</f>
        <v>4860993450.33113</v>
      </c>
      <c r="L17" s="400">
        <f>H17</f>
        <v>0.96</v>
      </c>
      <c r="M17" s="453">
        <f>K17*L17</f>
        <v>4666553712.3178844</v>
      </c>
      <c r="N17" s="400">
        <f>J17</f>
        <v>1</v>
      </c>
      <c r="O17" s="453">
        <f>M17*N17</f>
        <v>4666553712.3178844</v>
      </c>
      <c r="P17" s="400">
        <f>L17</f>
        <v>0.96</v>
      </c>
      <c r="Q17" s="453">
        <f>O17*P17</f>
        <v>4479891563.8251686</v>
      </c>
      <c r="R17" s="400">
        <f>N17</f>
        <v>1</v>
      </c>
      <c r="S17" s="453">
        <f>Q17*R17</f>
        <v>4479891563.8251686</v>
      </c>
      <c r="T17" s="400">
        <f>P17</f>
        <v>0.96</v>
      </c>
      <c r="U17" s="453">
        <f>S17*T17</f>
        <v>4300695901.2721615</v>
      </c>
      <c r="V17" s="400">
        <f>R17</f>
        <v>1</v>
      </c>
      <c r="W17" s="453">
        <f>U17*V17</f>
        <v>4300695901.2721615</v>
      </c>
      <c r="X17" s="400">
        <f>T17</f>
        <v>0.96</v>
      </c>
      <c r="Y17" s="453">
        <f>W17*X17</f>
        <v>4128668065.2212749</v>
      </c>
      <c r="Z17" s="400">
        <f>V17</f>
        <v>1</v>
      </c>
      <c r="AA17" s="453">
        <f>Y17*Z17</f>
        <v>4128668065.2212749</v>
      </c>
      <c r="AB17" s="400">
        <f>X17</f>
        <v>0.96</v>
      </c>
      <c r="AC17" s="453">
        <f>AA17*AB17</f>
        <v>3963521342.6124239</v>
      </c>
      <c r="AD17" s="400">
        <f>Z17</f>
        <v>1</v>
      </c>
      <c r="AE17" s="453">
        <f>AC17*AD17</f>
        <v>3963521342.6124239</v>
      </c>
      <c r="AF17" s="400">
        <f>AB17</f>
        <v>0.96</v>
      </c>
      <c r="AG17" s="453">
        <f>AE17*AF17</f>
        <v>3804980488.907927</v>
      </c>
      <c r="AH17" s="400">
        <f>AD17</f>
        <v>1</v>
      </c>
      <c r="AI17" s="453">
        <f>AG17*AH17</f>
        <v>3804980488.907927</v>
      </c>
      <c r="AJ17" s="400">
        <f>AF17</f>
        <v>0.96</v>
      </c>
      <c r="AK17" s="453">
        <f>AI17*AJ17</f>
        <v>3652781269.3516097</v>
      </c>
      <c r="AL17" s="400">
        <f>AH17</f>
        <v>1</v>
      </c>
      <c r="AM17" s="453">
        <f>AK17*AL17</f>
        <v>3652781269.3516097</v>
      </c>
      <c r="AN17" s="400">
        <f>AJ17</f>
        <v>0.96</v>
      </c>
      <c r="AO17" s="453">
        <f>AM17*AN17</f>
        <v>3506670018.5775452</v>
      </c>
      <c r="AP17" s="400">
        <f>AL17</f>
        <v>1</v>
      </c>
      <c r="AQ17" s="453">
        <f>AO17*AP17</f>
        <v>3506670018.5775452</v>
      </c>
      <c r="AR17" s="400">
        <f>AN17</f>
        <v>0.96</v>
      </c>
      <c r="AS17" s="453">
        <f>AQ17*AR17</f>
        <v>3366403217.8344431</v>
      </c>
      <c r="AT17" s="400">
        <f>AP17</f>
        <v>1</v>
      </c>
      <c r="AU17" s="453">
        <f>AS17*AT17</f>
        <v>3366403217.8344431</v>
      </c>
      <c r="AV17" s="400">
        <f>AR17</f>
        <v>0.96</v>
      </c>
      <c r="AW17" s="453">
        <f>AU17*AV17</f>
        <v>3231747089.1210651</v>
      </c>
      <c r="AX17" s="400">
        <f>AT17</f>
        <v>1</v>
      </c>
      <c r="AY17" s="453">
        <f>AW17*AX17</f>
        <v>3231747089.1210651</v>
      </c>
      <c r="AZ17" s="400">
        <f>AV17</f>
        <v>0.96</v>
      </c>
      <c r="BA17" s="453">
        <f>AY17*AZ17</f>
        <v>3102477205.5562224</v>
      </c>
      <c r="BB17" s="400">
        <f>AX17</f>
        <v>1</v>
      </c>
      <c r="BC17" s="453">
        <f>BA17*BB17</f>
        <v>3102477205.5562224</v>
      </c>
      <c r="BD17" s="400">
        <f>AR17</f>
        <v>0.96</v>
      </c>
      <c r="BE17" s="453">
        <f>BC17*BD17</f>
        <v>2978378117.3339734</v>
      </c>
      <c r="BF17" s="400">
        <f>AT17</f>
        <v>1</v>
      </c>
      <c r="BG17" s="453">
        <f>BE17*BF17</f>
        <v>2978378117.3339734</v>
      </c>
      <c r="BH17" s="400">
        <f>BD17</f>
        <v>0.96</v>
      </c>
      <c r="BI17" s="453">
        <f>BG17*BH17</f>
        <v>2859242992.6406145</v>
      </c>
      <c r="BJ17" s="400">
        <f>BF17</f>
        <v>1</v>
      </c>
      <c r="BK17" s="453">
        <f>BI17*BJ17</f>
        <v>2859242992.6406145</v>
      </c>
      <c r="BL17" s="400">
        <f>AB17</f>
        <v>0.96</v>
      </c>
      <c r="BM17" s="453">
        <f>BK17*BL17</f>
        <v>2744873272.9349899</v>
      </c>
      <c r="BN17" s="400">
        <f>AD17</f>
        <v>1</v>
      </c>
      <c r="BO17" s="453">
        <f>BM17*BN17</f>
        <v>2744873272.9349899</v>
      </c>
      <c r="BP17" s="400">
        <f>BL17</f>
        <v>0.96</v>
      </c>
      <c r="BQ17" s="453">
        <f>BO17*BP17</f>
        <v>2635078342.01759</v>
      </c>
      <c r="BR17" s="400">
        <f>BN17</f>
        <v>1</v>
      </c>
      <c r="BS17" s="453">
        <f>BQ17*BR17</f>
        <v>2635078342.01759</v>
      </c>
      <c r="BT17" s="719">
        <f>G17+I17+M17+Q17+U17+Y17+AC17+AG17+AK17+AO17+AS17+AW17+BA17+BE17+BI17+BM17+BQ17</f>
        <v>63346490893.950951</v>
      </c>
      <c r="BV17" s="593">
        <f>BP17</f>
        <v>0.96</v>
      </c>
      <c r="BW17" s="453">
        <f>BS17*BV17</f>
        <v>2529675208.3368864</v>
      </c>
      <c r="BX17" s="623"/>
      <c r="BY17" s="624"/>
      <c r="BZ17" s="628"/>
      <c r="CP17" s="974" t="s">
        <v>872</v>
      </c>
      <c r="CR17" s="974" t="s">
        <v>872</v>
      </c>
      <c r="CU17" s="974" t="s">
        <v>872</v>
      </c>
    </row>
    <row r="18" spans="1:109"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23"/>
      <c r="BY18" s="623"/>
      <c r="BZ18" s="628"/>
      <c r="CP18" s="974" t="s">
        <v>5</v>
      </c>
      <c r="CR18" s="974" t="s">
        <v>7</v>
      </c>
      <c r="CU18" s="77" t="s">
        <v>968</v>
      </c>
    </row>
    <row r="19" spans="1:109"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23"/>
      <c r="BY19" s="623"/>
      <c r="BZ19" s="628"/>
      <c r="CC19" s="473"/>
      <c r="CD19" s="473"/>
      <c r="CE19" s="473"/>
      <c r="CF19" s="473"/>
      <c r="CG19" s="473"/>
      <c r="CH19" s="473"/>
      <c r="CI19" s="473"/>
      <c r="CJ19" s="473"/>
      <c r="CK19" s="473"/>
      <c r="CL19" s="473"/>
      <c r="CM19" s="970"/>
      <c r="CN19" s="485"/>
      <c r="CO19" s="485"/>
      <c r="CP19" s="485" t="s">
        <v>961</v>
      </c>
      <c r="CQ19" s="485" t="s">
        <v>967</v>
      </c>
      <c r="CR19" s="485" t="s">
        <v>59</v>
      </c>
      <c r="CS19" s="485" t="s">
        <v>1343</v>
      </c>
      <c r="CT19" s="485" t="s">
        <v>1344</v>
      </c>
      <c r="CU19" s="485"/>
      <c r="CV19" s="473"/>
      <c r="CW19" s="485" t="s">
        <v>966</v>
      </c>
      <c r="CX19" s="485" t="s">
        <v>974</v>
      </c>
      <c r="CY19" s="485" t="s">
        <v>965</v>
      </c>
      <c r="CZ19" s="485" t="s">
        <v>965</v>
      </c>
      <c r="DA19" s="485" t="s">
        <v>1345</v>
      </c>
      <c r="DB19" s="305" t="s">
        <v>1286</v>
      </c>
      <c r="DC19" s="304"/>
    </row>
    <row r="20" spans="1:109"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122"/>
      <c r="BQ20" s="450" t="s">
        <v>285</v>
      </c>
      <c r="BR20" s="122"/>
      <c r="BS20" s="8"/>
      <c r="BT20" s="126"/>
      <c r="BV20" s="122"/>
      <c r="BW20" s="450" t="s">
        <v>285</v>
      </c>
      <c r="BX20" s="623"/>
      <c r="BY20" s="623"/>
      <c r="BZ20" s="628"/>
      <c r="CC20" s="473"/>
      <c r="CD20" s="473"/>
      <c r="CE20" s="473"/>
      <c r="CF20" s="473"/>
      <c r="CG20" s="473"/>
      <c r="CH20" s="473"/>
      <c r="CI20" s="473"/>
      <c r="CJ20" s="473"/>
      <c r="CK20" s="473"/>
      <c r="CL20" s="473"/>
      <c r="CM20" s="970"/>
      <c r="CN20" s="485"/>
      <c r="CO20" s="485"/>
      <c r="CP20" s="971">
        <f>'POP Dimensions'!C15</f>
        <v>10737418.24</v>
      </c>
      <c r="CQ20" s="954">
        <v>64</v>
      </c>
      <c r="CR20" s="972">
        <f>CQ20*CP20</f>
        <v>687194767.36000001</v>
      </c>
      <c r="CS20" s="954">
        <v>16</v>
      </c>
      <c r="CT20" s="954"/>
      <c r="CU20" s="971">
        <f>CR20*CS20</f>
        <v>10995116277.76</v>
      </c>
      <c r="CV20" s="473"/>
      <c r="CW20" s="485" t="s">
        <v>785</v>
      </c>
      <c r="CX20" s="485"/>
      <c r="CY20" s="485" t="s">
        <v>962</v>
      </c>
      <c r="CZ20" s="485" t="s">
        <v>1341</v>
      </c>
      <c r="DA20" s="485" t="s">
        <v>1342</v>
      </c>
      <c r="DB20" s="305"/>
      <c r="DC20" s="304"/>
    </row>
    <row r="21" spans="1:109" ht="16.2" thickBot="1" x14ac:dyDescent="0.35">
      <c r="C21" s="149" t="s">
        <v>737</v>
      </c>
      <c r="D21" s="1214">
        <v>0.32634660207039301</v>
      </c>
      <c r="E21" s="151">
        <f>E11*D21</f>
        <v>2937719805.9296298</v>
      </c>
      <c r="F21" s="1092">
        <v>0.3</v>
      </c>
      <c r="G21" s="151">
        <f>E21*F21</f>
        <v>881315941.77888894</v>
      </c>
      <c r="H21" s="465">
        <v>0.96</v>
      </c>
      <c r="I21" s="151">
        <f>G21*H21</f>
        <v>846063304.10773337</v>
      </c>
      <c r="J21" s="465">
        <v>1</v>
      </c>
      <c r="K21" s="444">
        <f>I21*J21</f>
        <v>846063304.10773337</v>
      </c>
      <c r="L21" s="152">
        <f>H21</f>
        <v>0.96</v>
      </c>
      <c r="M21" s="444">
        <f>K21*L21</f>
        <v>812220771.94342399</v>
      </c>
      <c r="N21" s="152">
        <f>J21</f>
        <v>1</v>
      </c>
      <c r="O21" s="444">
        <f>M21*N21</f>
        <v>812220771.94342399</v>
      </c>
      <c r="P21" s="152">
        <f>L21</f>
        <v>0.96</v>
      </c>
      <c r="Q21" s="444">
        <f>O21*P21</f>
        <v>779731941.06568694</v>
      </c>
      <c r="R21" s="152">
        <f>N21</f>
        <v>1</v>
      </c>
      <c r="S21" s="444">
        <f>Q21*R21</f>
        <v>779731941.06568694</v>
      </c>
      <c r="T21" s="152">
        <f>P21</f>
        <v>0.96</v>
      </c>
      <c r="U21" s="444">
        <f>S21*T21</f>
        <v>748542663.42305946</v>
      </c>
      <c r="V21" s="152">
        <f>R21</f>
        <v>1</v>
      </c>
      <c r="W21" s="444">
        <f>U21*V21</f>
        <v>748542663.42305946</v>
      </c>
      <c r="X21" s="152">
        <f>T21</f>
        <v>0.96</v>
      </c>
      <c r="Y21" s="444">
        <f>W21*X21</f>
        <v>718600956.88613701</v>
      </c>
      <c r="Z21" s="152">
        <f>V21</f>
        <v>1</v>
      </c>
      <c r="AA21" s="444">
        <f>Y21*Z21</f>
        <v>718600956.88613701</v>
      </c>
      <c r="AB21" s="152">
        <f>X21</f>
        <v>0.96</v>
      </c>
      <c r="AC21" s="444">
        <f>AA21*AB21</f>
        <v>689856918.61069155</v>
      </c>
      <c r="AD21" s="152">
        <f>Z21</f>
        <v>1</v>
      </c>
      <c r="AE21" s="444">
        <f>AC21*AD21</f>
        <v>689856918.61069155</v>
      </c>
      <c r="AF21" s="152">
        <f>AB21</f>
        <v>0.96</v>
      </c>
      <c r="AG21" s="444">
        <f>AE21*AF21</f>
        <v>662262641.86626387</v>
      </c>
      <c r="AH21" s="152">
        <f>AD21</f>
        <v>1</v>
      </c>
      <c r="AI21" s="444">
        <f>AG21*AH21</f>
        <v>662262641.86626387</v>
      </c>
      <c r="AJ21" s="152">
        <f>AF21</f>
        <v>0.96</v>
      </c>
      <c r="AK21" s="444">
        <f>AI21*AJ21</f>
        <v>635772136.19161332</v>
      </c>
      <c r="AL21" s="152">
        <f>AH21</f>
        <v>1</v>
      </c>
      <c r="AM21" s="444">
        <f>AK21*AL21</f>
        <v>635772136.19161332</v>
      </c>
      <c r="AN21" s="152">
        <f>AJ21</f>
        <v>0.96</v>
      </c>
      <c r="AO21" s="444">
        <f>AM21*AN21</f>
        <v>610341250.74394882</v>
      </c>
      <c r="AP21" s="152">
        <f>AL21</f>
        <v>1</v>
      </c>
      <c r="AQ21" s="444">
        <f>AO21*AP21</f>
        <v>610341250.74394882</v>
      </c>
      <c r="AR21" s="152">
        <f>AN21</f>
        <v>0.96</v>
      </c>
      <c r="AS21" s="444">
        <f>AQ21*AR21</f>
        <v>585927600.71419084</v>
      </c>
      <c r="AT21" s="152">
        <f>AP21</f>
        <v>1</v>
      </c>
      <c r="AU21" s="444">
        <f>AS21*AT21</f>
        <v>585927600.71419084</v>
      </c>
      <c r="AV21" s="152">
        <f>AR21</f>
        <v>0.96</v>
      </c>
      <c r="AW21" s="444">
        <f>AU21*AV21</f>
        <v>562490496.68562317</v>
      </c>
      <c r="AX21" s="152">
        <f>AT21</f>
        <v>1</v>
      </c>
      <c r="AY21" s="444">
        <f>AW21*AX21</f>
        <v>562490496.68562317</v>
      </c>
      <c r="AZ21" s="152">
        <f>AV21</f>
        <v>0.96</v>
      </c>
      <c r="BA21" s="444">
        <f>AY21*AZ21</f>
        <v>539990876.8181982</v>
      </c>
      <c r="BB21" s="152">
        <f>AX21</f>
        <v>1</v>
      </c>
      <c r="BC21" s="444">
        <f>BA21*BB21</f>
        <v>539990876.8181982</v>
      </c>
      <c r="BD21" s="152">
        <f>AR21</f>
        <v>0.96</v>
      </c>
      <c r="BE21" s="444">
        <f>BC21*BD21</f>
        <v>518391241.74547029</v>
      </c>
      <c r="BF21" s="152">
        <f>AT21</f>
        <v>1</v>
      </c>
      <c r="BG21" s="444">
        <f>BE21*BF21</f>
        <v>518391241.74547029</v>
      </c>
      <c r="BH21" s="152">
        <f>BD21</f>
        <v>0.96</v>
      </c>
      <c r="BI21" s="444">
        <f>BG21*BH21</f>
        <v>497655592.07565147</v>
      </c>
      <c r="BJ21" s="152">
        <f>BF21</f>
        <v>1</v>
      </c>
      <c r="BK21" s="444">
        <f>BI21*BJ21</f>
        <v>497655592.07565147</v>
      </c>
      <c r="BL21" s="152">
        <f>AB21</f>
        <v>0.96</v>
      </c>
      <c r="BM21" s="444">
        <f>BK21*BL21</f>
        <v>477749368.39262539</v>
      </c>
      <c r="BN21" s="152">
        <f>AD21</f>
        <v>1</v>
      </c>
      <c r="BO21" s="444">
        <f>BM21*BN21</f>
        <v>477749368.39262539</v>
      </c>
      <c r="BP21" s="152">
        <f>BL21</f>
        <v>0.96</v>
      </c>
      <c r="BQ21" s="444">
        <f>BO21*BP21</f>
        <v>458639393.65692037</v>
      </c>
      <c r="BR21" s="152">
        <f>BN21</f>
        <v>1</v>
      </c>
      <c r="BS21" s="444">
        <f>BQ21*BR21</f>
        <v>458639393.65692037</v>
      </c>
      <c r="BT21" s="719">
        <f>G21+I21+M21+Q21+U21+Y21+AC21+AG21+AK21+AO21+AS21+AW21+BA21+BE21+BI21+BM21+BQ21</f>
        <v>11025553096.706127</v>
      </c>
      <c r="BV21" s="594">
        <f>BP21</f>
        <v>0.96</v>
      </c>
      <c r="BW21" s="444">
        <f>BS21*BV21</f>
        <v>440293817.91064352</v>
      </c>
      <c r="BX21" s="623"/>
      <c r="BY21" s="624"/>
      <c r="BZ21" s="628"/>
      <c r="CC21" s="473"/>
      <c r="CS21" s="976"/>
      <c r="CT21" s="976"/>
      <c r="DC21" s="913"/>
    </row>
    <row r="22" spans="1:109"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437"/>
      <c r="BQ22" s="449" t="s">
        <v>738</v>
      </c>
      <c r="BR22" s="433"/>
      <c r="BS22" s="434"/>
      <c r="BT22" s="180"/>
      <c r="BV22" s="437"/>
      <c r="BW22" s="449" t="s">
        <v>738</v>
      </c>
      <c r="BX22" s="623"/>
      <c r="BY22" s="623"/>
      <c r="BZ22" s="628"/>
      <c r="CC22" s="473"/>
      <c r="CJ22" s="1" t="s">
        <v>955</v>
      </c>
      <c r="CN22" s="581" t="s">
        <v>964</v>
      </c>
      <c r="CO22" s="75"/>
      <c r="CP22" s="75"/>
      <c r="CQ22" s="986"/>
      <c r="CR22" s="896"/>
      <c r="CS22" s="980"/>
      <c r="CT22" s="980"/>
      <c r="CU22" s="75"/>
      <c r="CW22" s="75"/>
      <c r="CX22" s="76"/>
      <c r="CY22" s="75"/>
      <c r="CZ22" s="76">
        <f>CZ31</f>
        <v>1372242051.072</v>
      </c>
      <c r="DA22" s="75"/>
      <c r="DB22" s="910"/>
      <c r="DC22" s="304"/>
    </row>
    <row r="23" spans="1:109" ht="16.2" thickBot="1" x14ac:dyDescent="0.35">
      <c r="C23" s="141"/>
      <c r="D23" s="94">
        <f>SUM(D14:D21)</f>
        <v>1</v>
      </c>
      <c r="E23" s="371"/>
      <c r="F23" s="1093">
        <v>0.25</v>
      </c>
      <c r="G23" s="432">
        <f>E21*F23</f>
        <v>734429951.48240745</v>
      </c>
      <c r="H23" s="466">
        <v>0.96</v>
      </c>
      <c r="I23" s="432">
        <f>G23*H23</f>
        <v>705052753.42311108</v>
      </c>
      <c r="J23" s="466">
        <v>1</v>
      </c>
      <c r="K23" s="449">
        <f>I23*J23</f>
        <v>705052753.42311108</v>
      </c>
      <c r="L23" s="430">
        <f>H23</f>
        <v>0.96</v>
      </c>
      <c r="M23" s="449">
        <f>K23*L23</f>
        <v>676850643.28618658</v>
      </c>
      <c r="N23" s="430">
        <f>J23</f>
        <v>1</v>
      </c>
      <c r="O23" s="449">
        <f>M23*N23</f>
        <v>676850643.28618658</v>
      </c>
      <c r="P23" s="430">
        <f>L23</f>
        <v>0.96</v>
      </c>
      <c r="Q23" s="449">
        <f>O23*P23</f>
        <v>649776617.55473912</v>
      </c>
      <c r="R23" s="430">
        <f>N23</f>
        <v>1</v>
      </c>
      <c r="S23" s="449">
        <f>Q23*R23</f>
        <v>649776617.55473912</v>
      </c>
      <c r="T23" s="430">
        <f>P23</f>
        <v>0.96</v>
      </c>
      <c r="U23" s="449">
        <f>S23*T23</f>
        <v>623785552.85254955</v>
      </c>
      <c r="V23" s="430">
        <f>R23</f>
        <v>1</v>
      </c>
      <c r="W23" s="449">
        <f>U23*V23</f>
        <v>623785552.85254955</v>
      </c>
      <c r="X23" s="430">
        <f>T23</f>
        <v>0.96</v>
      </c>
      <c r="Y23" s="449">
        <f>W23*X23</f>
        <v>598834130.73844755</v>
      </c>
      <c r="Z23" s="430">
        <f>V23</f>
        <v>1</v>
      </c>
      <c r="AA23" s="449">
        <f>Y23*Z23</f>
        <v>598834130.73844755</v>
      </c>
      <c r="AB23" s="430">
        <f>X23</f>
        <v>0.96</v>
      </c>
      <c r="AC23" s="449">
        <f>AA23*AB23</f>
        <v>574880765.50890958</v>
      </c>
      <c r="AD23" s="430">
        <f>Z23</f>
        <v>1</v>
      </c>
      <c r="AE23" s="449">
        <f>AC23*AD23</f>
        <v>574880765.50890958</v>
      </c>
      <c r="AF23" s="430">
        <f>AB23</f>
        <v>0.96</v>
      </c>
      <c r="AG23" s="449">
        <f>AE23*AF23</f>
        <v>551885534.88855314</v>
      </c>
      <c r="AH23" s="430">
        <f>AD23</f>
        <v>1</v>
      </c>
      <c r="AI23" s="449">
        <f>AG23*AH23</f>
        <v>551885534.88855314</v>
      </c>
      <c r="AJ23" s="430">
        <f>AF23</f>
        <v>0.96</v>
      </c>
      <c r="AK23" s="449">
        <f>AI23*AJ23</f>
        <v>529810113.493011</v>
      </c>
      <c r="AL23" s="430">
        <f>AH23</f>
        <v>1</v>
      </c>
      <c r="AM23" s="449">
        <f>AK23*AL23</f>
        <v>529810113.493011</v>
      </c>
      <c r="AN23" s="430">
        <f>AJ23</f>
        <v>0.96</v>
      </c>
      <c r="AO23" s="449">
        <f>AM23*AN23</f>
        <v>508617708.95329052</v>
      </c>
      <c r="AP23" s="430">
        <f>AL23</f>
        <v>1</v>
      </c>
      <c r="AQ23" s="449">
        <f>AO23*AP23</f>
        <v>508617708.95329052</v>
      </c>
      <c r="AR23" s="430">
        <f>AN23</f>
        <v>0.96</v>
      </c>
      <c r="AS23" s="449">
        <f>AQ23*AR23</f>
        <v>488273000.59515887</v>
      </c>
      <c r="AT23" s="430">
        <f>AP23</f>
        <v>1</v>
      </c>
      <c r="AU23" s="449">
        <f>AS23*AT23</f>
        <v>488273000.59515887</v>
      </c>
      <c r="AV23" s="430">
        <f>AR23</f>
        <v>0.96</v>
      </c>
      <c r="AW23" s="449">
        <f>AU23*AV23</f>
        <v>468742080.57135248</v>
      </c>
      <c r="AX23" s="430">
        <f>AT23</f>
        <v>1</v>
      </c>
      <c r="AY23" s="449">
        <f>AW23*AX23</f>
        <v>468742080.57135248</v>
      </c>
      <c r="AZ23" s="430">
        <f>AV23</f>
        <v>0.96</v>
      </c>
      <c r="BA23" s="449">
        <f>AY23*AZ23</f>
        <v>449992397.34849834</v>
      </c>
      <c r="BB23" s="430">
        <f>AX23</f>
        <v>1</v>
      </c>
      <c r="BC23" s="449">
        <f>BA23*BB23</f>
        <v>449992397.34849834</v>
      </c>
      <c r="BD23" s="430">
        <f>AR23</f>
        <v>0.96</v>
      </c>
      <c r="BE23" s="449">
        <f>BC23*BD23</f>
        <v>431992701.45455837</v>
      </c>
      <c r="BF23" s="430">
        <f>AT23</f>
        <v>1</v>
      </c>
      <c r="BG23" s="449">
        <f>BE23*BF23</f>
        <v>431992701.45455837</v>
      </c>
      <c r="BH23" s="430">
        <f>BD23</f>
        <v>0.96</v>
      </c>
      <c r="BI23" s="449">
        <f>BG23*BH23</f>
        <v>414712993.39637601</v>
      </c>
      <c r="BJ23" s="430">
        <f>BF23</f>
        <v>1</v>
      </c>
      <c r="BK23" s="449">
        <f>BI23*BJ23</f>
        <v>414712993.39637601</v>
      </c>
      <c r="BL23" s="430">
        <f>AB23</f>
        <v>0.96</v>
      </c>
      <c r="BM23" s="449">
        <f>BK23*BL23</f>
        <v>398124473.66052097</v>
      </c>
      <c r="BN23" s="430">
        <f>AD23</f>
        <v>1</v>
      </c>
      <c r="BO23" s="449">
        <f>BM23*BN23</f>
        <v>398124473.66052097</v>
      </c>
      <c r="BP23" s="430">
        <f>BL23</f>
        <v>0.96</v>
      </c>
      <c r="BQ23" s="449">
        <f>BO23*BP23</f>
        <v>382199494.71410012</v>
      </c>
      <c r="BR23" s="430">
        <f>BN23</f>
        <v>1</v>
      </c>
      <c r="BS23" s="449">
        <f>BQ23*BR23</f>
        <v>382199494.71410012</v>
      </c>
      <c r="BT23" s="719">
        <f>G23+I23+M23+Q23+U23+Y23+AC23+AG23+AK23+AO23+AS23+AW23+BA23+BE23+BI23+BM23+BQ23</f>
        <v>9187960913.9217701</v>
      </c>
      <c r="BV23" s="595">
        <f>BP23</f>
        <v>0.96</v>
      </c>
      <c r="BW23" s="449">
        <f>BS23*BV23</f>
        <v>366911514.9255361</v>
      </c>
      <c r="BX23" s="623"/>
      <c r="BY23" s="624"/>
      <c r="BZ23" s="628"/>
      <c r="CC23" s="473"/>
      <c r="CH23" s="982" t="s">
        <v>989</v>
      </c>
      <c r="CI23" s="983">
        <v>2016</v>
      </c>
      <c r="CJ23" s="910">
        <v>75543543000000</v>
      </c>
      <c r="CK23" s="984">
        <v>2.5000000000000001E-2</v>
      </c>
      <c r="CL23" s="910">
        <f>CJ23*CK23</f>
        <v>1888588575000</v>
      </c>
      <c r="CN23" s="75"/>
      <c r="CO23" s="968">
        <v>2016</v>
      </c>
      <c r="CP23" s="305">
        <f>CP20</f>
        <v>10737418.24</v>
      </c>
      <c r="CQ23" s="986">
        <v>64</v>
      </c>
      <c r="CR23" s="411">
        <f t="shared" ref="CR23:CR35" si="0">CQ23*CP23</f>
        <v>687194767.36000001</v>
      </c>
      <c r="CS23" s="980"/>
      <c r="CT23" s="980"/>
      <c r="CU23" s="305">
        <f t="shared" ref="CU23:CU35" si="1">CR23*CS23</f>
        <v>0</v>
      </c>
      <c r="CW23" s="75"/>
      <c r="CX23" s="76"/>
      <c r="CY23" s="75"/>
      <c r="CZ23" s="953">
        <v>25000</v>
      </c>
      <c r="DA23" s="968" t="s">
        <v>1349</v>
      </c>
      <c r="DB23" s="910"/>
      <c r="DC23" s="981">
        <v>2016</v>
      </c>
    </row>
    <row r="24" spans="1:109"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122"/>
      <c r="BQ24" s="448" t="s">
        <v>294</v>
      </c>
      <c r="BR24" s="122"/>
      <c r="BS24" s="8"/>
      <c r="BT24" s="126"/>
      <c r="BV24" s="122"/>
      <c r="BW24" s="448" t="s">
        <v>294</v>
      </c>
      <c r="BX24" s="623"/>
      <c r="BY24" s="623"/>
      <c r="BZ24" s="628"/>
      <c r="CC24" s="473"/>
      <c r="CH24" s="982" t="s">
        <v>989</v>
      </c>
      <c r="CI24" s="983">
        <f>CI23+1</f>
        <v>2017</v>
      </c>
      <c r="CJ24" s="910">
        <f>CJ23+CL23</f>
        <v>77432131575000</v>
      </c>
      <c r="CK24" s="985">
        <f>CK23</f>
        <v>2.5000000000000001E-2</v>
      </c>
      <c r="CL24" s="910">
        <f>CJ24*CK24</f>
        <v>1935803289375</v>
      </c>
      <c r="CN24" s="75"/>
      <c r="CO24" s="968">
        <f>CO23+1</f>
        <v>2017</v>
      </c>
      <c r="CP24" s="305">
        <f>CP20</f>
        <v>10737418.24</v>
      </c>
      <c r="CQ24" s="986">
        <v>64</v>
      </c>
      <c r="CR24" s="411">
        <f t="shared" si="0"/>
        <v>687194767.36000001</v>
      </c>
      <c r="CS24" s="980"/>
      <c r="CT24" s="980"/>
      <c r="CU24" s="305">
        <f t="shared" si="1"/>
        <v>0</v>
      </c>
      <c r="CW24" s="75"/>
      <c r="CX24" s="76"/>
      <c r="CY24" s="75"/>
      <c r="CZ24" s="76">
        <f>CZ22/CZ23</f>
        <v>54889.682042879998</v>
      </c>
      <c r="DA24" s="75"/>
      <c r="DB24" s="910"/>
      <c r="DC24" s="981">
        <f>DC23+1</f>
        <v>2017</v>
      </c>
    </row>
    <row r="25" spans="1:109" ht="16.2" thickBot="1" x14ac:dyDescent="0.35">
      <c r="C25" s="122"/>
      <c r="D25" s="573" t="s">
        <v>1367</v>
      </c>
      <c r="E25" s="7"/>
      <c r="F25" s="1094">
        <v>0.2</v>
      </c>
      <c r="G25" s="99">
        <f>E21*F25</f>
        <v>587543961.18592596</v>
      </c>
      <c r="H25" s="467">
        <v>0.96</v>
      </c>
      <c r="I25" s="99">
        <f>G25*H25</f>
        <v>564042202.73848891</v>
      </c>
      <c r="J25" s="467">
        <v>1</v>
      </c>
      <c r="K25" s="443">
        <f>I25*J25</f>
        <v>564042202.73848891</v>
      </c>
      <c r="L25" s="153">
        <f>H25</f>
        <v>0.96</v>
      </c>
      <c r="M25" s="443">
        <f>K25*L25</f>
        <v>541480514.62894928</v>
      </c>
      <c r="N25" s="153">
        <f>J25</f>
        <v>1</v>
      </c>
      <c r="O25" s="443">
        <f>M25*N25</f>
        <v>541480514.62894928</v>
      </c>
      <c r="P25" s="153">
        <f>L25</f>
        <v>0.96</v>
      </c>
      <c r="Q25" s="443">
        <f>O25*P25</f>
        <v>519821294.04379129</v>
      </c>
      <c r="R25" s="153">
        <f>N25</f>
        <v>1</v>
      </c>
      <c r="S25" s="443">
        <f>Q25*R25</f>
        <v>519821294.04379129</v>
      </c>
      <c r="T25" s="153">
        <f>P25</f>
        <v>0.96</v>
      </c>
      <c r="U25" s="443">
        <f>S25*T25</f>
        <v>499028442.28203964</v>
      </c>
      <c r="V25" s="153">
        <f>R25</f>
        <v>1</v>
      </c>
      <c r="W25" s="443">
        <f>U25*V25</f>
        <v>499028442.28203964</v>
      </c>
      <c r="X25" s="153">
        <f>T25</f>
        <v>0.96</v>
      </c>
      <c r="Y25" s="443">
        <f>W25*X25</f>
        <v>479067304.59075803</v>
      </c>
      <c r="Z25" s="153">
        <f>V25</f>
        <v>1</v>
      </c>
      <c r="AA25" s="443">
        <f>Y25*Z25</f>
        <v>479067304.59075803</v>
      </c>
      <c r="AB25" s="153">
        <f>X25</f>
        <v>0.96</v>
      </c>
      <c r="AC25" s="443">
        <f>AA25*AB25</f>
        <v>459904612.40712768</v>
      </c>
      <c r="AD25" s="153">
        <f>Z25</f>
        <v>1</v>
      </c>
      <c r="AE25" s="443">
        <f>AC25*AD25</f>
        <v>459904612.40712768</v>
      </c>
      <c r="AF25" s="153">
        <f>AB25</f>
        <v>0.96</v>
      </c>
      <c r="AG25" s="443">
        <f>AE25*AF25</f>
        <v>441508427.91084254</v>
      </c>
      <c r="AH25" s="153">
        <f>AD25</f>
        <v>1</v>
      </c>
      <c r="AI25" s="443">
        <f>AG25*AH25</f>
        <v>441508427.91084254</v>
      </c>
      <c r="AJ25" s="153">
        <f>AF25</f>
        <v>0.96</v>
      </c>
      <c r="AK25" s="443">
        <f>AI25*AJ25</f>
        <v>423848090.7944088</v>
      </c>
      <c r="AL25" s="153">
        <f>AH25</f>
        <v>1</v>
      </c>
      <c r="AM25" s="443">
        <f>AK25*AL25</f>
        <v>423848090.7944088</v>
      </c>
      <c r="AN25" s="153">
        <f>AJ25</f>
        <v>0.96</v>
      </c>
      <c r="AO25" s="443">
        <f>AM25*AN25</f>
        <v>406894167.16263241</v>
      </c>
      <c r="AP25" s="153">
        <f>AL25</f>
        <v>1</v>
      </c>
      <c r="AQ25" s="443">
        <f>AO25*AP25</f>
        <v>406894167.16263241</v>
      </c>
      <c r="AR25" s="153">
        <f>AN25</f>
        <v>0.96</v>
      </c>
      <c r="AS25" s="443">
        <f>AQ25*AR25</f>
        <v>390618400.47612709</v>
      </c>
      <c r="AT25" s="153">
        <f>AP25</f>
        <v>1</v>
      </c>
      <c r="AU25" s="443">
        <f>AS25*AT25</f>
        <v>390618400.47612709</v>
      </c>
      <c r="AV25" s="153">
        <f>AR25</f>
        <v>0.96</v>
      </c>
      <c r="AW25" s="443">
        <f>AU25*AV25</f>
        <v>374993664.45708197</v>
      </c>
      <c r="AX25" s="153">
        <f>AT25</f>
        <v>1</v>
      </c>
      <c r="AY25" s="443">
        <f>AW25*AX25</f>
        <v>374993664.45708197</v>
      </c>
      <c r="AZ25" s="153">
        <f>AV25</f>
        <v>0.96</v>
      </c>
      <c r="BA25" s="443">
        <f>AY25*AZ25</f>
        <v>359993917.87879866</v>
      </c>
      <c r="BB25" s="153">
        <f>AX25</f>
        <v>1</v>
      </c>
      <c r="BC25" s="443">
        <f>BA25*BB25</f>
        <v>359993917.87879866</v>
      </c>
      <c r="BD25" s="153">
        <f>AR25</f>
        <v>0.96</v>
      </c>
      <c r="BE25" s="443">
        <f>BC25*BD25</f>
        <v>345594161.1636467</v>
      </c>
      <c r="BF25" s="153">
        <f>AT25</f>
        <v>1</v>
      </c>
      <c r="BG25" s="443">
        <f>BE25*BF25</f>
        <v>345594161.1636467</v>
      </c>
      <c r="BH25" s="153">
        <f>BD25</f>
        <v>0.96</v>
      </c>
      <c r="BI25" s="443">
        <f>BG25*BH25</f>
        <v>331770394.7171008</v>
      </c>
      <c r="BJ25" s="153">
        <f>BF25</f>
        <v>1</v>
      </c>
      <c r="BK25" s="443">
        <f>BI25*BJ25</f>
        <v>331770394.7171008</v>
      </c>
      <c r="BL25" s="153">
        <f>AB25</f>
        <v>0.96</v>
      </c>
      <c r="BM25" s="443">
        <f>BK25*BL25</f>
        <v>318499578.92841673</v>
      </c>
      <c r="BN25" s="153">
        <f>AD25</f>
        <v>1</v>
      </c>
      <c r="BO25" s="443">
        <f>BM25*BN25</f>
        <v>318499578.92841673</v>
      </c>
      <c r="BP25" s="153">
        <f>BL25</f>
        <v>0.96</v>
      </c>
      <c r="BQ25" s="443">
        <f>BO25*BP25</f>
        <v>305759595.77128005</v>
      </c>
      <c r="BR25" s="153">
        <f>BN25</f>
        <v>1</v>
      </c>
      <c r="BS25" s="443">
        <f>BQ25*BR25</f>
        <v>305759595.77128005</v>
      </c>
      <c r="BT25" s="719">
        <f>G25+I25+M25+Q25+U25+Y25+AC25+AG25+AK25+AO25+AS25+AW25+BA25+BE25+BI25+BM25+BQ25</f>
        <v>7350368731.1374168</v>
      </c>
      <c r="BV25" s="596">
        <f>BP25</f>
        <v>0.96</v>
      </c>
      <c r="BW25" s="443">
        <f>BS25*BV25</f>
        <v>293529211.94042885</v>
      </c>
      <c r="BX25" s="623"/>
      <c r="BY25" s="624"/>
      <c r="BZ25" s="628"/>
      <c r="CC25" s="473"/>
      <c r="CH25" s="982" t="s">
        <v>989</v>
      </c>
      <c r="CI25" s="983">
        <f t="shared" ref="CI25:CI35" si="2">CI24+1</f>
        <v>2018</v>
      </c>
      <c r="CJ25" s="910">
        <f t="shared" ref="CJ25:CJ35" si="3">CJ24+CL24</f>
        <v>79367934864375</v>
      </c>
      <c r="CK25" s="985">
        <f t="shared" ref="CK25:CK35" si="4">CK24</f>
        <v>2.5000000000000001E-2</v>
      </c>
      <c r="CL25" s="910">
        <f t="shared" ref="CL25:CL35" si="5">CJ25*CK25</f>
        <v>1984198371609.375</v>
      </c>
      <c r="CN25" s="75"/>
      <c r="CO25" s="968">
        <f t="shared" ref="CO25:CO35" si="6">CO24+1</f>
        <v>2018</v>
      </c>
      <c r="CP25" s="305">
        <f>CP20</f>
        <v>10737418.24</v>
      </c>
      <c r="CQ25" s="986">
        <v>64</v>
      </c>
      <c r="CR25" s="411">
        <f t="shared" si="0"/>
        <v>687194767.36000001</v>
      </c>
      <c r="CS25" s="980">
        <v>2.5000000000000001E-2</v>
      </c>
      <c r="CT25" s="980"/>
      <c r="CU25" s="305">
        <f t="shared" si="1"/>
        <v>17179869.184</v>
      </c>
      <c r="CV25" s="978" t="s">
        <v>1144</v>
      </c>
      <c r="CW25" s="305">
        <f t="shared" ref="CW25:CW55" si="7">CU25</f>
        <v>17179869.184</v>
      </c>
      <c r="CX25" s="691">
        <f t="shared" ref="CX25:CX35" si="8">CW25+CX24-DB25</f>
        <v>17179869.184</v>
      </c>
      <c r="CY25" s="893">
        <v>0.125</v>
      </c>
      <c r="CZ25" s="973">
        <f>CX25*CY25</f>
        <v>2147483.648</v>
      </c>
      <c r="DA25" s="305">
        <f>BT58</f>
        <v>1924038904.9276657</v>
      </c>
      <c r="DB25" s="910">
        <f t="shared" ref="DB25:DB35" si="9">CR25*CT25</f>
        <v>0</v>
      </c>
      <c r="DC25" s="981">
        <f t="shared" ref="DC25:DC55" si="10">DC24+1</f>
        <v>2018</v>
      </c>
    </row>
    <row r="26" spans="1:109"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126"/>
      <c r="BV26" s="122"/>
      <c r="BW26" s="452" t="s">
        <v>733</v>
      </c>
      <c r="BX26" s="623"/>
      <c r="BY26" s="623"/>
      <c r="BZ26" s="628"/>
      <c r="CC26" s="473"/>
      <c r="CH26" s="982" t="s">
        <v>989</v>
      </c>
      <c r="CI26" s="983">
        <f t="shared" si="2"/>
        <v>2019</v>
      </c>
      <c r="CJ26" s="910">
        <f t="shared" si="3"/>
        <v>81352133235984.375</v>
      </c>
      <c r="CK26" s="985">
        <f t="shared" si="4"/>
        <v>2.5000000000000001E-2</v>
      </c>
      <c r="CL26" s="910">
        <f t="shared" si="5"/>
        <v>2033803330899.6094</v>
      </c>
      <c r="CN26" s="75"/>
      <c r="CO26" s="968">
        <f t="shared" si="6"/>
        <v>2019</v>
      </c>
      <c r="CP26" s="305">
        <f>CP20</f>
        <v>10737418.24</v>
      </c>
      <c r="CQ26" s="986">
        <v>64</v>
      </c>
      <c r="CR26" s="411">
        <f t="shared" si="0"/>
        <v>687194767.36000001</v>
      </c>
      <c r="CS26" s="980">
        <v>0.2</v>
      </c>
      <c r="CT26" s="980"/>
      <c r="CU26" s="305">
        <f t="shared" si="1"/>
        <v>137438953.472</v>
      </c>
      <c r="CV26" s="978" t="s">
        <v>1144</v>
      </c>
      <c r="CW26" s="305">
        <f t="shared" si="7"/>
        <v>137438953.472</v>
      </c>
      <c r="CX26" s="691">
        <f t="shared" si="8"/>
        <v>154618822.65600002</v>
      </c>
      <c r="CY26" s="893">
        <f>CY25</f>
        <v>0.125</v>
      </c>
      <c r="CZ26" s="973">
        <f t="shared" ref="CZ26:CZ55" si="11">CX26*CY26</f>
        <v>19327352.832000002</v>
      </c>
      <c r="DA26" s="305">
        <f>DA25</f>
        <v>1924038904.9276657</v>
      </c>
      <c r="DB26" s="910">
        <f t="shared" si="9"/>
        <v>0</v>
      </c>
      <c r="DC26" s="981">
        <f t="shared" si="10"/>
        <v>2019</v>
      </c>
    </row>
    <row r="27" spans="1:109" ht="19.2" thickBot="1" x14ac:dyDescent="0.5">
      <c r="C27" s="122"/>
      <c r="D27" s="574" t="s">
        <v>1369</v>
      </c>
      <c r="E27" s="7"/>
      <c r="F27" s="1096">
        <v>0.25</v>
      </c>
      <c r="G27" s="446">
        <f>E21*F27</f>
        <v>734429951.48240745</v>
      </c>
      <c r="H27" s="447">
        <v>0.25</v>
      </c>
      <c r="I27" s="446">
        <f>G27*H27</f>
        <v>183607487.87060186</v>
      </c>
      <c r="J27" s="447">
        <v>1</v>
      </c>
      <c r="K27" s="439">
        <f>I27*J27</f>
        <v>183607487.87060186</v>
      </c>
      <c r="L27" s="438">
        <f>H27</f>
        <v>0.25</v>
      </c>
      <c r="M27" s="439">
        <f>K27*L27</f>
        <v>45901871.967650466</v>
      </c>
      <c r="N27" s="438">
        <f>J27</f>
        <v>1</v>
      </c>
      <c r="O27" s="439">
        <f>M27*N27</f>
        <v>45901871.967650466</v>
      </c>
      <c r="P27" s="438">
        <f>L27</f>
        <v>0.25</v>
      </c>
      <c r="Q27" s="439">
        <f>O27*P27</f>
        <v>11475467.991912616</v>
      </c>
      <c r="R27" s="438">
        <f>N27</f>
        <v>1</v>
      </c>
      <c r="S27" s="439">
        <f>Q27*R27</f>
        <v>11475467.991912616</v>
      </c>
      <c r="T27" s="438">
        <f>P27</f>
        <v>0.25</v>
      </c>
      <c r="U27" s="439">
        <f>S27*T27</f>
        <v>2868866.9979781541</v>
      </c>
      <c r="V27" s="438">
        <f>R27</f>
        <v>1</v>
      </c>
      <c r="W27" s="439">
        <f>U27*V27</f>
        <v>2868866.9979781541</v>
      </c>
      <c r="X27" s="438">
        <f>T27</f>
        <v>0.25</v>
      </c>
      <c r="Y27" s="439">
        <f>W27*X27</f>
        <v>717216.74949453853</v>
      </c>
      <c r="Z27" s="438">
        <f>V27</f>
        <v>1</v>
      </c>
      <c r="AA27" s="439">
        <f>Y27*Z27</f>
        <v>717216.74949453853</v>
      </c>
      <c r="AB27" s="438">
        <f>X27</f>
        <v>0.25</v>
      </c>
      <c r="AC27" s="439">
        <f>AA27*AB27</f>
        <v>179304.18737363463</v>
      </c>
      <c r="AD27" s="438">
        <f>Z27</f>
        <v>1</v>
      </c>
      <c r="AE27" s="439">
        <f>AC27*AD27</f>
        <v>179304.18737363463</v>
      </c>
      <c r="AF27" s="438">
        <f>AB27</f>
        <v>0.25</v>
      </c>
      <c r="AG27" s="439">
        <f>AE27*AF27</f>
        <v>44826.046843408658</v>
      </c>
      <c r="AH27" s="438">
        <f>AD27</f>
        <v>1</v>
      </c>
      <c r="AI27" s="439">
        <f>AG27*AH27</f>
        <v>44826.046843408658</v>
      </c>
      <c r="AJ27" s="438">
        <f>AF27</f>
        <v>0.25</v>
      </c>
      <c r="AK27" s="439">
        <f>AI27*AJ27</f>
        <v>11206.511710852164</v>
      </c>
      <c r="AL27" s="438">
        <f>AH27</f>
        <v>1</v>
      </c>
      <c r="AM27" s="439">
        <f>AK27*AL27</f>
        <v>11206.511710852164</v>
      </c>
      <c r="AN27" s="438">
        <f>AJ27</f>
        <v>0.25</v>
      </c>
      <c r="AO27" s="439">
        <f>AM27*AN27</f>
        <v>2801.6279277130411</v>
      </c>
      <c r="AP27" s="438">
        <f>AL27</f>
        <v>1</v>
      </c>
      <c r="AQ27" s="439">
        <f>AO27*AP27</f>
        <v>2801.6279277130411</v>
      </c>
      <c r="AR27" s="438">
        <f>AN27</f>
        <v>0.25</v>
      </c>
      <c r="AS27" s="439">
        <f>AQ27*AR27</f>
        <v>700.40698192826028</v>
      </c>
      <c r="AT27" s="438">
        <f>AP27</f>
        <v>1</v>
      </c>
      <c r="AU27" s="439">
        <f>AS27*AT27</f>
        <v>700.40698192826028</v>
      </c>
      <c r="AV27" s="438">
        <f>AR27</f>
        <v>0.25</v>
      </c>
      <c r="AW27" s="439">
        <f>AU27*AV27</f>
        <v>175.10174548206507</v>
      </c>
      <c r="AX27" s="438">
        <f>AT27</f>
        <v>1</v>
      </c>
      <c r="AY27" s="439">
        <f>AW27*AX27</f>
        <v>175.10174548206507</v>
      </c>
      <c r="AZ27" s="438">
        <f>AV27</f>
        <v>0.25</v>
      </c>
      <c r="BA27" s="439">
        <f>AY27*AZ27</f>
        <v>43.775436370516267</v>
      </c>
      <c r="BB27" s="438">
        <f>AX27</f>
        <v>1</v>
      </c>
      <c r="BC27" s="439">
        <f>BA27*BB27</f>
        <v>43.775436370516267</v>
      </c>
      <c r="BD27" s="438">
        <f>AR27</f>
        <v>0.25</v>
      </c>
      <c r="BE27" s="439">
        <f>BC27*BD27</f>
        <v>10.943859092629067</v>
      </c>
      <c r="BF27" s="438">
        <f>AT27</f>
        <v>1</v>
      </c>
      <c r="BG27" s="439">
        <f>BE27*BF27</f>
        <v>10.943859092629067</v>
      </c>
      <c r="BH27" s="438">
        <f>BD27</f>
        <v>0.25</v>
      </c>
      <c r="BI27" s="439">
        <f>BG27*BH27</f>
        <v>2.7359647731572667</v>
      </c>
      <c r="BJ27" s="438">
        <f>BF27</f>
        <v>1</v>
      </c>
      <c r="BK27" s="439">
        <f>BI27*BJ27</f>
        <v>2.7359647731572667</v>
      </c>
      <c r="BL27" s="438">
        <f>AB27</f>
        <v>0.25</v>
      </c>
      <c r="BM27" s="439">
        <f>BK27*BL27</f>
        <v>0.68399119328931668</v>
      </c>
      <c r="BN27" s="438">
        <f>AD27</f>
        <v>1</v>
      </c>
      <c r="BO27" s="439">
        <f>BM27*BN27</f>
        <v>0.68399119328931668</v>
      </c>
      <c r="BP27" s="438">
        <f>BL27</f>
        <v>0.25</v>
      </c>
      <c r="BQ27" s="439">
        <f>BO27*BP27</f>
        <v>0.17099779832232917</v>
      </c>
      <c r="BR27" s="438">
        <f>BN27</f>
        <v>1</v>
      </c>
      <c r="BS27" s="439">
        <f>BQ27*BR27</f>
        <v>0.17099779832232917</v>
      </c>
      <c r="BT27" s="719">
        <f>G27+I27+M27+Q27+U27+Y27+AC27+AG27+AK27+AO27+AS27+AW27+BA27+BE27+BI27+BM27+BQ27</f>
        <v>979239935.25287735</v>
      </c>
      <c r="BV27" s="597">
        <f>BP27</f>
        <v>0.25</v>
      </c>
      <c r="BW27" s="439">
        <f>BS27*BV27</f>
        <v>4.2749449580582292E-2</v>
      </c>
      <c r="BX27" s="623"/>
      <c r="BY27" s="624"/>
      <c r="BZ27" s="628"/>
      <c r="CC27" s="473"/>
      <c r="CH27" s="982" t="s">
        <v>989</v>
      </c>
      <c r="CI27" s="983">
        <f t="shared" si="2"/>
        <v>2020</v>
      </c>
      <c r="CJ27" s="910">
        <f t="shared" si="3"/>
        <v>83385936566883.984</v>
      </c>
      <c r="CK27" s="985">
        <f t="shared" si="4"/>
        <v>2.5000000000000001E-2</v>
      </c>
      <c r="CL27" s="910">
        <f t="shared" si="5"/>
        <v>2084648414172.0996</v>
      </c>
      <c r="CM27" s="895" t="s">
        <v>1283</v>
      </c>
      <c r="CN27" s="75"/>
      <c r="CO27" s="968">
        <f t="shared" si="6"/>
        <v>2020</v>
      </c>
      <c r="CP27" s="305">
        <f>CP20</f>
        <v>10737418.24</v>
      </c>
      <c r="CQ27" s="986">
        <v>64</v>
      </c>
      <c r="CR27" s="411">
        <f t="shared" si="0"/>
        <v>687194767.36000001</v>
      </c>
      <c r="CS27" s="980">
        <v>1.5</v>
      </c>
      <c r="CT27" s="980"/>
      <c r="CU27" s="305">
        <f t="shared" si="1"/>
        <v>1030792151.04</v>
      </c>
      <c r="CV27" s="978" t="s">
        <v>1144</v>
      </c>
      <c r="CW27" s="305">
        <f t="shared" si="7"/>
        <v>1030792151.04</v>
      </c>
      <c r="CX27" s="691">
        <f t="shared" si="8"/>
        <v>1185410973.6960001</v>
      </c>
      <c r="CY27" s="893">
        <f t="shared" ref="CY27:CY31" si="12">CY26</f>
        <v>0.125</v>
      </c>
      <c r="CZ27" s="973">
        <f t="shared" si="11"/>
        <v>148176371.71200001</v>
      </c>
      <c r="DA27" s="305">
        <f t="shared" ref="DA27:DA55" si="13">DA26</f>
        <v>1924038904.9276657</v>
      </c>
      <c r="DB27" s="910">
        <f t="shared" si="9"/>
        <v>0</v>
      </c>
      <c r="DC27" s="981">
        <f t="shared" si="10"/>
        <v>2020</v>
      </c>
    </row>
    <row r="28" spans="1:109"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437"/>
      <c r="BQ28" s="434"/>
      <c r="BR28" s="142"/>
      <c r="BS28" s="434"/>
      <c r="BT28" s="180"/>
      <c r="BV28" s="122"/>
      <c r="BW28" s="8"/>
      <c r="BX28" s="623"/>
      <c r="BY28" s="624"/>
      <c r="BZ28" s="629">
        <f>BW5</f>
        <v>4497200370.376687</v>
      </c>
      <c r="CC28" s="473"/>
      <c r="CH28" s="982" t="s">
        <v>989</v>
      </c>
      <c r="CI28" s="983">
        <f t="shared" si="2"/>
        <v>2021</v>
      </c>
      <c r="CJ28" s="910">
        <f t="shared" si="3"/>
        <v>85470584981056.078</v>
      </c>
      <c r="CK28" s="985">
        <f t="shared" si="4"/>
        <v>2.5000000000000001E-2</v>
      </c>
      <c r="CL28" s="910">
        <f t="shared" si="5"/>
        <v>2136764624526.4021</v>
      </c>
      <c r="CN28" s="75"/>
      <c r="CO28" s="968">
        <f t="shared" si="6"/>
        <v>2021</v>
      </c>
      <c r="CP28" s="305">
        <f>CP20</f>
        <v>10737418.24</v>
      </c>
      <c r="CQ28" s="986">
        <v>64</v>
      </c>
      <c r="CR28" s="411">
        <f t="shared" si="0"/>
        <v>687194767.36000001</v>
      </c>
      <c r="CS28" s="980">
        <v>1.25</v>
      </c>
      <c r="CT28" s="980"/>
      <c r="CU28" s="305">
        <f t="shared" si="1"/>
        <v>858993459.20000005</v>
      </c>
      <c r="CV28" s="978" t="s">
        <v>1144</v>
      </c>
      <c r="CW28" s="305">
        <f t="shared" si="7"/>
        <v>858993459.20000005</v>
      </c>
      <c r="CX28" s="691">
        <f t="shared" si="8"/>
        <v>2044404432.8960001</v>
      </c>
      <c r="CY28" s="893">
        <f t="shared" si="12"/>
        <v>0.125</v>
      </c>
      <c r="CZ28" s="973">
        <f t="shared" si="11"/>
        <v>255550554.11200002</v>
      </c>
      <c r="DA28" s="305">
        <f t="shared" si="13"/>
        <v>1924038904.9276657</v>
      </c>
      <c r="DB28" s="910">
        <f t="shared" si="9"/>
        <v>0</v>
      </c>
      <c r="DC28" s="981">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101778139236.81819</v>
      </c>
      <c r="BV29" s="179"/>
      <c r="BW29" s="161">
        <f>SUM(BW10:BW28)</f>
        <v>4005320988.3740568</v>
      </c>
      <c r="BX29" s="691">
        <v>1</v>
      </c>
      <c r="BY29" s="183">
        <f>BW29*BX29</f>
        <v>4005320988.3740568</v>
      </c>
      <c r="BZ29" s="645">
        <f>BY29+BZ28</f>
        <v>8502521358.7507439</v>
      </c>
      <c r="CA29" s="253" t="s">
        <v>1383</v>
      </c>
      <c r="CC29" s="473"/>
      <c r="CH29" s="982" t="s">
        <v>989</v>
      </c>
      <c r="CI29" s="983">
        <f>CI28+1</f>
        <v>2022</v>
      </c>
      <c r="CJ29" s="910">
        <f>CJ28+CL28</f>
        <v>87607349605582.484</v>
      </c>
      <c r="CK29" s="985">
        <f>CK28</f>
        <v>2.5000000000000001E-2</v>
      </c>
      <c r="CL29" s="910">
        <f t="shared" si="5"/>
        <v>2190183740139.5623</v>
      </c>
      <c r="CN29" s="75"/>
      <c r="CO29" s="968">
        <f>CO28+1</f>
        <v>2022</v>
      </c>
      <c r="CP29" s="305">
        <f>CP20</f>
        <v>10737418.24</v>
      </c>
      <c r="CQ29" s="986">
        <v>64</v>
      </c>
      <c r="CR29" s="411">
        <f t="shared" si="0"/>
        <v>687194767.36000001</v>
      </c>
      <c r="CS29" s="980">
        <v>2</v>
      </c>
      <c r="CT29" s="980"/>
      <c r="CU29" s="305">
        <f t="shared" si="1"/>
        <v>1374389534.72</v>
      </c>
      <c r="CV29" s="978" t="s">
        <v>1144</v>
      </c>
      <c r="CW29" s="305">
        <f t="shared" si="7"/>
        <v>1374389534.72</v>
      </c>
      <c r="CX29" s="691">
        <f t="shared" si="8"/>
        <v>3418793967.6160002</v>
      </c>
      <c r="CY29" s="893">
        <f t="shared" si="12"/>
        <v>0.125</v>
      </c>
      <c r="CZ29" s="973">
        <f t="shared" si="11"/>
        <v>427349245.95200002</v>
      </c>
      <c r="DA29" s="305">
        <f t="shared" si="13"/>
        <v>1924038904.9276657</v>
      </c>
      <c r="DB29" s="910">
        <f t="shared" si="9"/>
        <v>0</v>
      </c>
      <c r="DC29" s="981">
        <f>DC28+1</f>
        <v>2022</v>
      </c>
    </row>
    <row r="30" spans="1:109" x14ac:dyDescent="0.3">
      <c r="C30" s="158"/>
      <c r="D30" s="10"/>
      <c r="E30" s="10"/>
      <c r="F30" s="10"/>
      <c r="G30" s="159">
        <f>SUM(G10:G29)</f>
        <v>9001839722.8354244</v>
      </c>
      <c r="H30" s="599"/>
      <c r="I30" s="172">
        <f>SUM(I10:I29)</f>
        <v>8005253584.9962502</v>
      </c>
      <c r="J30" s="158"/>
      <c r="K30" s="11"/>
      <c r="L30" s="160"/>
      <c r="M30" s="161">
        <f>SUM(M10:M29)</f>
        <v>7497148483.5216465</v>
      </c>
      <c r="N30" s="158"/>
      <c r="O30" s="11"/>
      <c r="P30" s="598"/>
      <c r="Q30" s="172">
        <f>SUM(Q10:Q29)</f>
        <v>7135905394.2404366</v>
      </c>
      <c r="R30" s="158"/>
      <c r="S30" s="11"/>
      <c r="T30" s="160"/>
      <c r="U30" s="161">
        <f>SUM(U10:U29)</f>
        <v>6827938185.7749043</v>
      </c>
      <c r="V30" s="158"/>
      <c r="W30" s="11"/>
      <c r="X30" s="598"/>
      <c r="Y30" s="172">
        <f>SUM(Y10:Y29)</f>
        <v>6545592057.5645151</v>
      </c>
      <c r="Z30" s="158"/>
      <c r="AA30" s="11"/>
      <c r="AB30" s="160"/>
      <c r="AC30" s="161">
        <f>SUM(AC10:AC29)</f>
        <v>6279663298.7643785</v>
      </c>
      <c r="AD30" s="158"/>
      <c r="AE30" s="11"/>
      <c r="AF30" s="598"/>
      <c r="AG30" s="172">
        <f>SUM(AG10:AG29)</f>
        <v>6026551534.5380621</v>
      </c>
      <c r="AH30" s="158"/>
      <c r="AI30" s="11"/>
      <c r="AJ30" s="598"/>
      <c r="AK30" s="172">
        <f>SUM(AK10:AK29)</f>
        <v>5784558683.5119267</v>
      </c>
      <c r="AL30" s="158"/>
      <c r="AM30" s="11"/>
      <c r="AN30" s="598"/>
      <c r="AO30" s="172">
        <f>SUM(AO10:AO29)</f>
        <v>5552718897.9724579</v>
      </c>
      <c r="AP30" s="158"/>
      <c r="AQ30" s="11"/>
      <c r="AR30" s="598"/>
      <c r="AS30" s="172">
        <f>SUM(AS10:AS29)</f>
        <v>5330383412.1098909</v>
      </c>
      <c r="AT30" s="158"/>
      <c r="AU30" s="11"/>
      <c r="AV30" s="598"/>
      <c r="AW30" s="172">
        <f>SUM(AW10:AW29)</f>
        <v>5117055207.9426203</v>
      </c>
      <c r="AX30" s="158"/>
      <c r="AY30" s="11"/>
      <c r="AZ30" s="598"/>
      <c r="BA30" s="172">
        <f>SUM(BA10:BA29)</f>
        <v>4912316690.1057158</v>
      </c>
      <c r="BB30" s="158"/>
      <c r="BC30" s="11"/>
      <c r="BD30" s="598"/>
      <c r="BE30" s="172">
        <f>SUM(BE10:BE29)</f>
        <v>4715795898.8224468</v>
      </c>
      <c r="BF30" s="158"/>
      <c r="BG30" s="11"/>
      <c r="BH30" s="598"/>
      <c r="BI30" s="172">
        <f>SUM(BI10:BI29)</f>
        <v>4527150008.8001699</v>
      </c>
      <c r="BJ30" s="158"/>
      <c r="BK30" s="11"/>
      <c r="BL30" s="598"/>
      <c r="BM30" s="172">
        <f>SUM(BM10:BM29)</f>
        <v>4346056983.3560076</v>
      </c>
      <c r="BN30" s="158"/>
      <c r="BO30" s="11"/>
      <c r="BP30" s="179"/>
      <c r="BQ30" s="161">
        <f>SUM(BQ10:BQ29)</f>
        <v>4172211191.9613237</v>
      </c>
      <c r="BR30" s="158"/>
      <c r="BS30" s="11"/>
      <c r="BT30" s="161">
        <f>G30+I30+M30+Q30+U30+Y30+AC30+BM30+BQ30</f>
        <v>59811608903.014893</v>
      </c>
      <c r="BZ30" s="253" t="s">
        <v>1383</v>
      </c>
      <c r="CC30" s="473"/>
      <c r="CH30" s="982" t="s">
        <v>989</v>
      </c>
      <c r="CI30" s="983">
        <f>CI29+1</f>
        <v>2023</v>
      </c>
      <c r="CJ30" s="910">
        <f>CJ29+CL29</f>
        <v>89797533345722.047</v>
      </c>
      <c r="CK30" s="985">
        <f>CK29</f>
        <v>2.5000000000000001E-2</v>
      </c>
      <c r="CL30" s="910">
        <f t="shared" si="5"/>
        <v>2244938333643.0513</v>
      </c>
      <c r="CN30" s="75"/>
      <c r="CO30" s="968">
        <f>CO29+1</f>
        <v>2023</v>
      </c>
      <c r="CP30" s="305">
        <f>CP20</f>
        <v>10737418.24</v>
      </c>
      <c r="CQ30" s="986">
        <v>64</v>
      </c>
      <c r="CR30" s="411">
        <f t="shared" si="0"/>
        <v>687194767.36000001</v>
      </c>
      <c r="CS30" s="980">
        <v>3</v>
      </c>
      <c r="CT30" s="980"/>
      <c r="CU30" s="305">
        <f t="shared" si="1"/>
        <v>2061584302.0799999</v>
      </c>
      <c r="CV30" s="978" t="s">
        <v>1144</v>
      </c>
      <c r="CW30" s="305">
        <f t="shared" si="7"/>
        <v>2061584302.0799999</v>
      </c>
      <c r="CX30" s="691">
        <f t="shared" si="8"/>
        <v>5480378269.6960001</v>
      </c>
      <c r="CY30" s="893">
        <f t="shared" si="12"/>
        <v>0.125</v>
      </c>
      <c r="CZ30" s="973">
        <f t="shared" si="11"/>
        <v>685047283.71200001</v>
      </c>
      <c r="DA30" s="305">
        <f t="shared" si="13"/>
        <v>1924038904.9276657</v>
      </c>
      <c r="DB30" s="910">
        <f t="shared" si="9"/>
        <v>0</v>
      </c>
      <c r="DC30" s="981">
        <f>DC29+1</f>
        <v>2023</v>
      </c>
    </row>
    <row r="31" spans="1:109" x14ac:dyDescent="0.3">
      <c r="I31" s="30"/>
      <c r="Q31" s="30"/>
      <c r="Y31" s="30"/>
      <c r="BT31" s="999" t="s">
        <v>1355</v>
      </c>
      <c r="BV31" s="77" t="s">
        <v>1382</v>
      </c>
      <c r="BW31" s="567">
        <f>BT34</f>
        <v>11.908350384445418</v>
      </c>
      <c r="BX31" s="76"/>
      <c r="BY31" s="76" t="s">
        <v>957</v>
      </c>
      <c r="CC31" s="473"/>
      <c r="CH31" s="982" t="s">
        <v>989</v>
      </c>
      <c r="CI31" s="983">
        <f t="shared" si="2"/>
        <v>2024</v>
      </c>
      <c r="CJ31" s="910">
        <f t="shared" si="3"/>
        <v>92042471679365.094</v>
      </c>
      <c r="CK31" s="985">
        <f t="shared" si="4"/>
        <v>2.5000000000000001E-2</v>
      </c>
      <c r="CL31" s="910">
        <f t="shared" si="5"/>
        <v>2301061791984.1274</v>
      </c>
      <c r="CM31" s="895" t="s">
        <v>1282</v>
      </c>
      <c r="CN31" s="75"/>
      <c r="CO31" s="968">
        <f t="shared" si="6"/>
        <v>2024</v>
      </c>
      <c r="CP31" s="305">
        <f>CP20</f>
        <v>10737418.24</v>
      </c>
      <c r="CQ31" s="986">
        <v>64</v>
      </c>
      <c r="CR31" s="411">
        <f t="shared" si="0"/>
        <v>687194767.36000001</v>
      </c>
      <c r="CS31" s="980">
        <v>8</v>
      </c>
      <c r="CT31" s="980"/>
      <c r="CU31" s="305">
        <f t="shared" si="1"/>
        <v>5497558138.8800001</v>
      </c>
      <c r="CV31" s="978" t="s">
        <v>1144</v>
      </c>
      <c r="CW31" s="305">
        <f t="shared" si="7"/>
        <v>5497558138.8800001</v>
      </c>
      <c r="CX31" s="691">
        <f t="shared" si="8"/>
        <v>10977936408.576</v>
      </c>
      <c r="CY31" s="893">
        <f t="shared" si="12"/>
        <v>0.125</v>
      </c>
      <c r="CZ31" s="995">
        <f t="shared" si="11"/>
        <v>1372242051.072</v>
      </c>
      <c r="DA31" s="305">
        <f t="shared" si="13"/>
        <v>1924038904.9276657</v>
      </c>
      <c r="DB31" s="910">
        <f t="shared" si="9"/>
        <v>0</v>
      </c>
      <c r="DC31" s="981">
        <f t="shared" si="10"/>
        <v>2024</v>
      </c>
      <c r="DD31" s="1000">
        <v>0.125</v>
      </c>
      <c r="DE31" s="1001">
        <f>CZ31*CY31</f>
        <v>171530256.384</v>
      </c>
    </row>
    <row r="32" spans="1:109" x14ac:dyDescent="0.3">
      <c r="A32" s="690"/>
      <c r="B32" s="690"/>
      <c r="I32" s="690"/>
      <c r="BS32" s="1150" t="s">
        <v>306</v>
      </c>
      <c r="BT32" s="182">
        <f>E8</f>
        <v>18003679445.670853</v>
      </c>
      <c r="BV32" s="736">
        <f>BT47</f>
        <v>18003679445.670853</v>
      </c>
      <c r="BW32" s="568">
        <f>BV32*BT34</f>
        <v>214394123048.28656</v>
      </c>
      <c r="BX32" s="208">
        <f>BU49</f>
        <v>0.66163000000000005</v>
      </c>
      <c r="BY32" s="691">
        <f>BW32*BX32</f>
        <v>141849583632.43784</v>
      </c>
      <c r="CC32" s="473"/>
      <c r="CH32" s="332" t="s">
        <v>989</v>
      </c>
      <c r="CI32" s="953">
        <f>CI31+1</f>
        <v>2025</v>
      </c>
      <c r="CJ32" s="691">
        <f>CJ31+CL31</f>
        <v>94343533471349.219</v>
      </c>
      <c r="CK32" s="894">
        <f>CK31</f>
        <v>2.5000000000000001E-2</v>
      </c>
      <c r="CL32" s="691">
        <f t="shared" si="5"/>
        <v>2358588336783.7305</v>
      </c>
      <c r="CN32" s="332" t="s">
        <v>963</v>
      </c>
      <c r="CO32" s="953">
        <f>CO31+1</f>
        <v>2025</v>
      </c>
      <c r="CP32" s="691">
        <f>CP20</f>
        <v>10737418.24</v>
      </c>
      <c r="CQ32" s="987">
        <v>64</v>
      </c>
      <c r="CR32" s="875">
        <f t="shared" si="0"/>
        <v>687194767.36000001</v>
      </c>
      <c r="CS32" s="977"/>
      <c r="CT32" s="977"/>
      <c r="CU32" s="691">
        <f t="shared" si="1"/>
        <v>0</v>
      </c>
      <c r="CW32" s="691">
        <f t="shared" si="7"/>
        <v>0</v>
      </c>
      <c r="CX32" s="691">
        <f t="shared" si="8"/>
        <v>10977936408.576</v>
      </c>
      <c r="CY32" s="894">
        <f>CY31</f>
        <v>0.125</v>
      </c>
      <c r="CZ32" s="975">
        <f t="shared" si="11"/>
        <v>1372242051.072</v>
      </c>
      <c r="DA32" s="691">
        <f t="shared" si="13"/>
        <v>1924038904.9276657</v>
      </c>
      <c r="DB32" s="183">
        <f t="shared" si="9"/>
        <v>0</v>
      </c>
      <c r="DC32" s="949">
        <f>DC31+1</f>
        <v>2025</v>
      </c>
    </row>
    <row r="33" spans="1:107" x14ac:dyDescent="0.3">
      <c r="I33" s="690"/>
      <c r="J33" s="18"/>
      <c r="K33" s="690"/>
      <c r="BS33" s="122" t="s">
        <v>307</v>
      </c>
      <c r="BT33" s="183">
        <f>BT29+BT5</f>
        <v>214394123048.28656</v>
      </c>
      <c r="BW33" s="248"/>
      <c r="BY33" s="181"/>
      <c r="CC33" s="473"/>
      <c r="CH33" s="332" t="s">
        <v>989</v>
      </c>
      <c r="CI33" s="953">
        <f t="shared" si="2"/>
        <v>2026</v>
      </c>
      <c r="CJ33" s="691">
        <f t="shared" si="3"/>
        <v>96702121808132.953</v>
      </c>
      <c r="CK33" s="894">
        <f t="shared" si="4"/>
        <v>2.5000000000000001E-2</v>
      </c>
      <c r="CL33" s="691">
        <f t="shared" si="5"/>
        <v>2417553045203.3237</v>
      </c>
      <c r="CN33" s="332"/>
      <c r="CO33" s="953">
        <f t="shared" si="6"/>
        <v>2026</v>
      </c>
      <c r="CP33" s="691">
        <f>CP20</f>
        <v>10737418.24</v>
      </c>
      <c r="CQ33" s="987">
        <v>64</v>
      </c>
      <c r="CR33" s="875">
        <f t="shared" si="0"/>
        <v>687194767.36000001</v>
      </c>
      <c r="CS33" s="977"/>
      <c r="CT33" s="977"/>
      <c r="CU33" s="691">
        <f t="shared" si="1"/>
        <v>0</v>
      </c>
      <c r="CW33" s="691">
        <f t="shared" si="7"/>
        <v>0</v>
      </c>
      <c r="CX33" s="691">
        <f t="shared" si="8"/>
        <v>10977936408.576</v>
      </c>
      <c r="CY33" s="894">
        <f>CY32</f>
        <v>0.125</v>
      </c>
      <c r="CZ33" s="975">
        <f t="shared" si="11"/>
        <v>1372242051.072</v>
      </c>
      <c r="DA33" s="691">
        <f t="shared" si="13"/>
        <v>1924038904.9276657</v>
      </c>
      <c r="DB33" s="183">
        <f t="shared" si="9"/>
        <v>0</v>
      </c>
      <c r="DC33" s="949">
        <f t="shared" si="10"/>
        <v>2026</v>
      </c>
    </row>
    <row r="34" spans="1:107" x14ac:dyDescent="0.3">
      <c r="A34" s="690"/>
      <c r="B34" s="690"/>
      <c r="C34" s="900" t="s">
        <v>1036</v>
      </c>
      <c r="D34" s="901" t="s">
        <v>1287</v>
      </c>
      <c r="E34" s="4"/>
      <c r="F34" s="4"/>
      <c r="G34" s="5"/>
      <c r="BS34" s="1150" t="s">
        <v>310</v>
      </c>
      <c r="BT34" s="184">
        <f>BT33/BT32</f>
        <v>11.908350384445418</v>
      </c>
      <c r="BU34" s="239"/>
      <c r="BV34" s="239" t="s">
        <v>974</v>
      </c>
      <c r="BW34" s="248" t="s">
        <v>1384</v>
      </c>
      <c r="BX34" s="239"/>
      <c r="BY34" s="181"/>
      <c r="CC34" s="473"/>
      <c r="CH34" s="332" t="s">
        <v>989</v>
      </c>
      <c r="CI34" s="953">
        <f t="shared" si="2"/>
        <v>2027</v>
      </c>
      <c r="CJ34" s="691">
        <f t="shared" si="3"/>
        <v>99119674853336.281</v>
      </c>
      <c r="CK34" s="894">
        <f t="shared" si="4"/>
        <v>2.5000000000000001E-2</v>
      </c>
      <c r="CL34" s="691">
        <f t="shared" si="5"/>
        <v>2477991871333.4072</v>
      </c>
      <c r="CN34" s="76"/>
      <c r="CO34" s="953">
        <f t="shared" si="6"/>
        <v>2027</v>
      </c>
      <c r="CP34" s="691">
        <f>CP20</f>
        <v>10737418.24</v>
      </c>
      <c r="CQ34" s="987">
        <v>64</v>
      </c>
      <c r="CR34" s="875">
        <f t="shared" si="0"/>
        <v>687194767.36000001</v>
      </c>
      <c r="CS34" s="977"/>
      <c r="CT34" s="977"/>
      <c r="CU34" s="691">
        <f t="shared" si="1"/>
        <v>0</v>
      </c>
      <c r="CW34" s="691">
        <f t="shared" si="7"/>
        <v>0</v>
      </c>
      <c r="CX34" s="691">
        <f t="shared" si="8"/>
        <v>10977936408.576</v>
      </c>
      <c r="CY34" s="894">
        <f t="shared" ref="CY34:CY55" si="14">CY33</f>
        <v>0.125</v>
      </c>
      <c r="CZ34" s="975">
        <f t="shared" si="11"/>
        <v>1372242051.072</v>
      </c>
      <c r="DA34" s="691">
        <f t="shared" si="13"/>
        <v>1924038904.9276657</v>
      </c>
      <c r="DB34" s="183">
        <f t="shared" si="9"/>
        <v>0</v>
      </c>
      <c r="DC34" s="949">
        <f t="shared" si="10"/>
        <v>2027</v>
      </c>
    </row>
    <row r="35" spans="1:107" x14ac:dyDescent="0.3">
      <c r="A35" s="690"/>
      <c r="B35" s="690"/>
      <c r="C35" s="122" t="s">
        <v>732</v>
      </c>
      <c r="D35" s="287" t="s">
        <v>1288</v>
      </c>
      <c r="E35" s="7" t="s">
        <v>1289</v>
      </c>
      <c r="F35" s="7"/>
      <c r="G35" s="8"/>
      <c r="BR35" s="38"/>
      <c r="BS35" s="1150" t="s">
        <v>785</v>
      </c>
      <c r="BT35" s="472"/>
      <c r="BU35" s="473"/>
      <c r="BV35" s="472"/>
      <c r="BW35" s="472">
        <f>BV35-BT35</f>
        <v>0</v>
      </c>
      <c r="BX35" s="473"/>
      <c r="BY35" s="563"/>
      <c r="BZ35" s="473"/>
      <c r="CA35" s="473"/>
      <c r="CB35" s="473"/>
      <c r="CC35" s="473"/>
      <c r="CD35" s="88"/>
      <c r="CE35" s="88"/>
      <c r="CF35" s="88"/>
      <c r="CG35" s="88"/>
      <c r="CH35" s="332" t="s">
        <v>989</v>
      </c>
      <c r="CI35" s="953">
        <f t="shared" si="2"/>
        <v>2028</v>
      </c>
      <c r="CJ35" s="691">
        <f t="shared" si="3"/>
        <v>101597666724669.69</v>
      </c>
      <c r="CK35" s="894">
        <f t="shared" si="4"/>
        <v>2.5000000000000001E-2</v>
      </c>
      <c r="CL35" s="691">
        <f t="shared" si="5"/>
        <v>2539941668116.7422</v>
      </c>
      <c r="CN35" s="76"/>
      <c r="CO35" s="953">
        <f t="shared" si="6"/>
        <v>2028</v>
      </c>
      <c r="CP35" s="691">
        <f>CP20</f>
        <v>10737418.24</v>
      </c>
      <c r="CQ35" s="987">
        <v>64</v>
      </c>
      <c r="CR35" s="875">
        <f t="shared" si="0"/>
        <v>687194767.36000001</v>
      </c>
      <c r="CS35" s="977"/>
      <c r="CT35" s="977"/>
      <c r="CU35" s="691">
        <f t="shared" si="1"/>
        <v>0</v>
      </c>
      <c r="CW35" s="691">
        <f t="shared" si="7"/>
        <v>0</v>
      </c>
      <c r="CX35" s="691">
        <f t="shared" si="8"/>
        <v>10977936408.576</v>
      </c>
      <c r="CY35" s="894">
        <f t="shared" si="14"/>
        <v>0.125</v>
      </c>
      <c r="CZ35" s="975">
        <f t="shared" si="11"/>
        <v>1372242051.072</v>
      </c>
      <c r="DA35" s="691">
        <f t="shared" si="13"/>
        <v>1924038904.9276657</v>
      </c>
      <c r="DB35" s="183">
        <f t="shared" si="9"/>
        <v>0</v>
      </c>
      <c r="DC35" s="949">
        <f t="shared" si="10"/>
        <v>2028</v>
      </c>
    </row>
    <row r="36" spans="1:107" x14ac:dyDescent="0.3">
      <c r="A36" s="690"/>
      <c r="B36" s="690"/>
      <c r="C36" s="1151">
        <v>32</v>
      </c>
      <c r="D36" s="411">
        <f>'POP Dimensions'!J15</f>
        <v>21474836.48</v>
      </c>
      <c r="E36" s="411">
        <f>C36*D36</f>
        <v>687194767.36000001</v>
      </c>
      <c r="F36" s="896"/>
      <c r="G36" s="902" t="s">
        <v>732</v>
      </c>
      <c r="BR36" s="38"/>
      <c r="BS36" s="1206" t="s">
        <v>1445</v>
      </c>
      <c r="BT36" s="1207">
        <f>'POP Dimensions'!L16*150%</f>
        <v>515396075.51999998</v>
      </c>
      <c r="BU36" s="88"/>
      <c r="BV36" s="511"/>
      <c r="BW36" s="511"/>
      <c r="BX36" s="88"/>
      <c r="BY36" s="181"/>
      <c r="BZ36" s="88"/>
      <c r="CA36" s="88"/>
      <c r="CB36" s="616">
        <f>BY47*CD47</f>
        <v>920424716793.65088</v>
      </c>
      <c r="CC36" s="617" t="s">
        <v>778</v>
      </c>
      <c r="CD36" s="88"/>
      <c r="CE36" s="88"/>
      <c r="CF36" s="88"/>
      <c r="CG36" s="88"/>
      <c r="CH36" s="332" t="s">
        <v>989</v>
      </c>
      <c r="CI36" s="953">
        <f>CI35+1</f>
        <v>2029</v>
      </c>
      <c r="CJ36" s="691">
        <f>CJ35+CL35</f>
        <v>104137608392786.44</v>
      </c>
      <c r="CK36" s="894">
        <f>CK35</f>
        <v>2.5000000000000001E-2</v>
      </c>
      <c r="CL36" s="691">
        <f>CJ36*CK36</f>
        <v>2603440209819.6611</v>
      </c>
      <c r="CN36" s="76"/>
      <c r="CO36" s="953">
        <f>CO35+1</f>
        <v>2029</v>
      </c>
      <c r="CP36" s="691">
        <f>CP20</f>
        <v>10737418.24</v>
      </c>
      <c r="CQ36" s="987">
        <v>64</v>
      </c>
      <c r="CR36" s="875">
        <f>CQ36*CP36</f>
        <v>687194767.36000001</v>
      </c>
      <c r="CS36" s="977"/>
      <c r="CT36" s="977"/>
      <c r="CU36" s="691">
        <f>CR36*CS36</f>
        <v>0</v>
      </c>
      <c r="CW36" s="691">
        <f t="shared" si="7"/>
        <v>0</v>
      </c>
      <c r="CX36" s="691">
        <f>CW36+CX35-DB36</f>
        <v>10977936408.576</v>
      </c>
      <c r="CY36" s="894">
        <f t="shared" si="14"/>
        <v>0.125</v>
      </c>
      <c r="CZ36" s="975">
        <f t="shared" si="11"/>
        <v>1372242051.072</v>
      </c>
      <c r="DA36" s="691">
        <f t="shared" si="13"/>
        <v>1924038904.9276657</v>
      </c>
      <c r="DB36" s="183">
        <f>CR36*CT36</f>
        <v>0</v>
      </c>
      <c r="DC36" s="949">
        <f t="shared" si="10"/>
        <v>2029</v>
      </c>
    </row>
    <row r="37" spans="1:107" x14ac:dyDescent="0.3">
      <c r="A37" s="690"/>
      <c r="B37" s="690"/>
      <c r="C37" s="1152">
        <f>C36*2</f>
        <v>64</v>
      </c>
      <c r="D37" s="897">
        <f>D36</f>
        <v>21474836.48</v>
      </c>
      <c r="E37" s="897">
        <f t="shared" ref="E37:E43" si="15">C37*D37</f>
        <v>1374389534.72</v>
      </c>
      <c r="F37" s="874"/>
      <c r="G37" s="903" t="s">
        <v>732</v>
      </c>
      <c r="BR37" s="38"/>
      <c r="BS37" s="1206" t="s">
        <v>1444</v>
      </c>
      <c r="BT37" s="1207">
        <f>'POP Dimensions'!H17*150%</f>
        <v>1030792151.04</v>
      </c>
      <c r="BU37" s="88"/>
      <c r="BV37" s="511"/>
      <c r="BW37" s="511"/>
      <c r="BX37" s="88"/>
      <c r="BY37" s="181"/>
      <c r="BZ37" s="88"/>
      <c r="CA37" s="88"/>
      <c r="CB37" s="616"/>
      <c r="CC37" s="617"/>
      <c r="CD37" s="88"/>
      <c r="CE37" s="88"/>
      <c r="CF37" s="88"/>
      <c r="CG37" s="88"/>
      <c r="CH37" s="332" t="s">
        <v>989</v>
      </c>
      <c r="CI37" s="953">
        <f>CI36+1</f>
        <v>2030</v>
      </c>
      <c r="CJ37" s="691">
        <f>CJ36+CL36</f>
        <v>106741048602606.09</v>
      </c>
      <c r="CK37" s="894">
        <f>CK36</f>
        <v>2.5000000000000001E-2</v>
      </c>
      <c r="CL37" s="691">
        <f>CJ37*CK37</f>
        <v>2668526215065.1523</v>
      </c>
      <c r="CN37" s="76"/>
      <c r="CO37" s="953">
        <f>CO36+1</f>
        <v>2030</v>
      </c>
      <c r="CP37" s="691">
        <f>CP20</f>
        <v>10737418.24</v>
      </c>
      <c r="CQ37" s="987">
        <v>64</v>
      </c>
      <c r="CR37" s="875">
        <f t="shared" ref="CR37:CR55" si="16">CQ37*CP37</f>
        <v>687194767.36000001</v>
      </c>
      <c r="CS37" s="977"/>
      <c r="CT37" s="977"/>
      <c r="CU37" s="691">
        <f t="shared" ref="CU37:CU55" si="17">CR37*CS37</f>
        <v>0</v>
      </c>
      <c r="CW37" s="691">
        <f t="shared" si="7"/>
        <v>0</v>
      </c>
      <c r="CX37" s="691">
        <f>CW37+CX36-DB37</f>
        <v>10977936408.576</v>
      </c>
      <c r="CY37" s="894">
        <f t="shared" si="14"/>
        <v>0.125</v>
      </c>
      <c r="CZ37" s="975">
        <f t="shared" si="11"/>
        <v>1372242051.072</v>
      </c>
      <c r="DA37" s="691">
        <f t="shared" si="13"/>
        <v>1924038904.9276657</v>
      </c>
      <c r="DB37" s="183">
        <f>CR37*CT37</f>
        <v>0</v>
      </c>
      <c r="DC37" s="949">
        <f t="shared" si="10"/>
        <v>2030</v>
      </c>
    </row>
    <row r="38" spans="1:107" x14ac:dyDescent="0.3">
      <c r="A38" s="690"/>
      <c r="B38" s="690"/>
      <c r="C38" s="1121">
        <f>C37*2</f>
        <v>128</v>
      </c>
      <c r="D38" s="875">
        <f t="shared" ref="D38:D43" si="18">D37</f>
        <v>21474836.48</v>
      </c>
      <c r="E38" s="875">
        <f t="shared" si="15"/>
        <v>2748779069.4400001</v>
      </c>
      <c r="F38" s="410"/>
      <c r="G38" s="126" t="s">
        <v>732</v>
      </c>
      <c r="BO38" s="1162" t="s">
        <v>1435</v>
      </c>
      <c r="BP38" s="1160"/>
      <c r="BQ38" s="1160"/>
      <c r="BR38" s="1160"/>
      <c r="BS38" s="1161" t="s">
        <v>1284</v>
      </c>
      <c r="BT38" s="1164">
        <f>'POP Dimensions'!L16*150%</f>
        <v>515396075.51999998</v>
      </c>
      <c r="BU38" s="88"/>
      <c r="BV38" s="88"/>
      <c r="BW38" s="253"/>
      <c r="BX38" s="88"/>
      <c r="BY38" s="181"/>
      <c r="CH38" s="332" t="s">
        <v>989</v>
      </c>
      <c r="CI38" s="953">
        <f>CI37+1</f>
        <v>2031</v>
      </c>
      <c r="CJ38" s="691">
        <f>CJ37+CL37</f>
        <v>109409574817671.25</v>
      </c>
      <c r="CK38" s="894">
        <f>CK37</f>
        <v>2.5000000000000001E-2</v>
      </c>
      <c r="CL38" s="691">
        <f>CJ38*CK38</f>
        <v>2735239370441.7813</v>
      </c>
      <c r="CN38" s="76"/>
      <c r="CO38" s="953">
        <f t="shared" ref="CO38:CO55" si="19">CO37+1</f>
        <v>2031</v>
      </c>
      <c r="CP38" s="691">
        <f>CP20</f>
        <v>10737418.24</v>
      </c>
      <c r="CQ38" s="987">
        <v>64</v>
      </c>
      <c r="CR38" s="875">
        <f t="shared" si="16"/>
        <v>687194767.36000001</v>
      </c>
      <c r="CS38" s="977"/>
      <c r="CT38" s="977"/>
      <c r="CU38" s="691">
        <f t="shared" si="17"/>
        <v>0</v>
      </c>
      <c r="CW38" s="691">
        <f t="shared" si="7"/>
        <v>0</v>
      </c>
      <c r="CX38" s="691">
        <f t="shared" ref="CX38:CX55" si="20">CW38+CX37-DB38</f>
        <v>10977936408.576</v>
      </c>
      <c r="CY38" s="894">
        <f t="shared" si="14"/>
        <v>0.125</v>
      </c>
      <c r="CZ38" s="975">
        <f t="shared" si="11"/>
        <v>1372242051.072</v>
      </c>
      <c r="DA38" s="691">
        <f t="shared" si="13"/>
        <v>1924038904.9276657</v>
      </c>
      <c r="DB38" s="183">
        <f t="shared" ref="DB38:DB55" si="21">CR38*CT38</f>
        <v>0</v>
      </c>
      <c r="DC38" s="949">
        <f t="shared" si="10"/>
        <v>2031</v>
      </c>
    </row>
    <row r="39" spans="1:107" x14ac:dyDescent="0.3">
      <c r="A39" s="690"/>
      <c r="B39" s="690"/>
      <c r="C39" s="1151">
        <f>C38*2</f>
        <v>256</v>
      </c>
      <c r="D39" s="411">
        <f t="shared" si="18"/>
        <v>21474836.48</v>
      </c>
      <c r="E39" s="411">
        <f t="shared" si="15"/>
        <v>5497558138.8800001</v>
      </c>
      <c r="F39" s="896"/>
      <c r="G39" s="902" t="s">
        <v>732</v>
      </c>
      <c r="BO39" s="1163" t="s">
        <v>1436</v>
      </c>
      <c r="BS39" s="1155" t="s">
        <v>1279</v>
      </c>
      <c r="BT39" s="1164">
        <v>-7000000000</v>
      </c>
      <c r="BU39" s="208">
        <v>0.05</v>
      </c>
      <c r="BV39" s="76">
        <f>BT49*BU39</f>
        <v>7092479181.621892</v>
      </c>
      <c r="BW39" s="253" t="s">
        <v>1465</v>
      </c>
      <c r="BX39" s="88"/>
      <c r="BY39" s="181"/>
      <c r="CB39" s="616"/>
      <c r="CC39" s="617"/>
      <c r="CH39" s="332" t="s">
        <v>989</v>
      </c>
      <c r="CI39" s="953">
        <f>CI38+1</f>
        <v>2032</v>
      </c>
      <c r="CJ39" s="691">
        <f>CJ38+CL38</f>
        <v>112144814188113.03</v>
      </c>
      <c r="CK39" s="894">
        <f>CK38</f>
        <v>2.5000000000000001E-2</v>
      </c>
      <c r="CL39" s="691">
        <f>CJ39*CK39</f>
        <v>2803620354702.8262</v>
      </c>
      <c r="CM39" s="895" t="s">
        <v>1281</v>
      </c>
      <c r="CN39" s="76"/>
      <c r="CO39" s="953">
        <f t="shared" si="19"/>
        <v>2032</v>
      </c>
      <c r="CP39" s="691">
        <f t="shared" ref="CP39:CP55" si="22">CP29</f>
        <v>10737418.24</v>
      </c>
      <c r="CQ39" s="987">
        <v>64</v>
      </c>
      <c r="CR39" s="875">
        <f t="shared" si="16"/>
        <v>687194767.36000001</v>
      </c>
      <c r="CS39" s="977"/>
      <c r="CT39" s="977"/>
      <c r="CU39" s="691">
        <f t="shared" si="17"/>
        <v>0</v>
      </c>
      <c r="CW39" s="691">
        <f t="shared" si="7"/>
        <v>0</v>
      </c>
      <c r="CX39" s="691">
        <f t="shared" si="20"/>
        <v>10977936408.576</v>
      </c>
      <c r="CY39" s="894">
        <f t="shared" si="14"/>
        <v>0.125</v>
      </c>
      <c r="CZ39" s="975">
        <f t="shared" si="11"/>
        <v>1372242051.072</v>
      </c>
      <c r="DA39" s="691">
        <f t="shared" si="13"/>
        <v>1924038904.9276657</v>
      </c>
      <c r="DB39" s="183">
        <f t="shared" si="21"/>
        <v>0</v>
      </c>
      <c r="DC39" s="949">
        <f t="shared" si="10"/>
        <v>2032</v>
      </c>
    </row>
    <row r="40" spans="1:107" x14ac:dyDescent="0.3">
      <c r="A40" s="690"/>
      <c r="B40" s="690"/>
      <c r="C40" s="1152">
        <f t="shared" ref="C40:C43" si="23">C39*2</f>
        <v>512</v>
      </c>
      <c r="D40" s="897">
        <f t="shared" si="18"/>
        <v>21474836.48</v>
      </c>
      <c r="E40" s="897">
        <f t="shared" si="15"/>
        <v>10995116277.76</v>
      </c>
      <c r="F40" s="874"/>
      <c r="G40" s="903" t="s">
        <v>732</v>
      </c>
      <c r="BS40" s="1156" t="s">
        <v>1277</v>
      </c>
      <c r="BT40" s="1164">
        <f>'POP Dimensions'!J17</f>
        <v>1374389534.72</v>
      </c>
      <c r="BU40" s="88"/>
      <c r="BV40" s="253"/>
      <c r="BW40" s="253"/>
      <c r="BX40" s="253"/>
      <c r="BY40" s="181"/>
      <c r="CB40" s="616"/>
      <c r="CC40" s="617"/>
      <c r="CH40" s="332" t="s">
        <v>989</v>
      </c>
      <c r="CI40" s="953">
        <f t="shared" ref="CI40:CI55" si="24">CI39+1</f>
        <v>2033</v>
      </c>
      <c r="CJ40" s="691">
        <f t="shared" ref="CJ40:CJ55" si="25">CJ39+CL39</f>
        <v>114948434542815.86</v>
      </c>
      <c r="CK40" s="894">
        <f t="shared" ref="CK40:CK55" si="26">CK39</f>
        <v>2.5000000000000001E-2</v>
      </c>
      <c r="CL40" s="691">
        <f t="shared" ref="CL40:CL55" si="27">CJ40*CK40</f>
        <v>2873710863570.3965</v>
      </c>
      <c r="CN40" s="76"/>
      <c r="CO40" s="953">
        <f t="shared" si="19"/>
        <v>2033</v>
      </c>
      <c r="CP40" s="691">
        <f t="shared" si="22"/>
        <v>10737418.24</v>
      </c>
      <c r="CQ40" s="987">
        <v>64</v>
      </c>
      <c r="CR40" s="875">
        <f t="shared" si="16"/>
        <v>687194767.36000001</v>
      </c>
      <c r="CS40" s="969"/>
      <c r="CT40" s="977"/>
      <c r="CU40" s="691">
        <f t="shared" si="17"/>
        <v>0</v>
      </c>
      <c r="CW40" s="691">
        <f t="shared" si="7"/>
        <v>0</v>
      </c>
      <c r="CX40" s="691">
        <f t="shared" si="20"/>
        <v>10977936408.576</v>
      </c>
      <c r="CY40" s="894">
        <f t="shared" si="14"/>
        <v>0.125</v>
      </c>
      <c r="CZ40" s="975">
        <f t="shared" si="11"/>
        <v>1372242051.072</v>
      </c>
      <c r="DA40" s="691">
        <f t="shared" si="13"/>
        <v>1924038904.9276657</v>
      </c>
      <c r="DB40" s="183">
        <f t="shared" si="21"/>
        <v>0</v>
      </c>
      <c r="DC40" s="949">
        <f t="shared" si="10"/>
        <v>2033</v>
      </c>
    </row>
    <row r="41" spans="1:107" x14ac:dyDescent="0.3">
      <c r="A41" s="690"/>
      <c r="B41" s="690"/>
      <c r="C41" s="1121">
        <f t="shared" si="23"/>
        <v>1024</v>
      </c>
      <c r="D41" s="875">
        <f t="shared" si="18"/>
        <v>21474836.48</v>
      </c>
      <c r="E41" s="875">
        <f t="shared" si="15"/>
        <v>21990232555.52</v>
      </c>
      <c r="F41" s="410"/>
      <c r="G41" s="126" t="s">
        <v>732</v>
      </c>
      <c r="BQ41" s="173" t="s">
        <v>1433</v>
      </c>
      <c r="BR41" s="1158"/>
      <c r="BS41" s="1159" t="s">
        <v>1285</v>
      </c>
      <c r="BT41" s="719">
        <f>'POP Dimensions'!H17*125%</f>
        <v>858993459.20000005</v>
      </c>
      <c r="BU41" s="88"/>
      <c r="BV41" s="253"/>
      <c r="BW41" s="253"/>
      <c r="BX41" s="1215"/>
      <c r="BY41" s="181"/>
      <c r="CB41" s="12" t="s">
        <v>979</v>
      </c>
      <c r="CH41" s="332" t="s">
        <v>989</v>
      </c>
      <c r="CI41" s="953">
        <f t="shared" si="24"/>
        <v>2034</v>
      </c>
      <c r="CJ41" s="691">
        <f t="shared" si="25"/>
        <v>117822145406386.25</v>
      </c>
      <c r="CK41" s="894">
        <f t="shared" si="26"/>
        <v>2.5000000000000001E-2</v>
      </c>
      <c r="CL41" s="691">
        <f t="shared" si="27"/>
        <v>2945553635159.6563</v>
      </c>
      <c r="CN41" s="76"/>
      <c r="CO41" s="953">
        <f t="shared" si="19"/>
        <v>2034</v>
      </c>
      <c r="CP41" s="691">
        <f t="shared" si="22"/>
        <v>10737418.24</v>
      </c>
      <c r="CQ41" s="987">
        <v>64</v>
      </c>
      <c r="CR41" s="875">
        <f t="shared" si="16"/>
        <v>687194767.36000001</v>
      </c>
      <c r="CS41" s="969"/>
      <c r="CT41" s="977"/>
      <c r="CU41" s="691">
        <f t="shared" si="17"/>
        <v>0</v>
      </c>
      <c r="CW41" s="691">
        <f t="shared" si="7"/>
        <v>0</v>
      </c>
      <c r="CX41" s="691">
        <f t="shared" si="20"/>
        <v>10977936408.576</v>
      </c>
      <c r="CY41" s="894">
        <f t="shared" si="14"/>
        <v>0.125</v>
      </c>
      <c r="CZ41" s="975">
        <f t="shared" si="11"/>
        <v>1372242051.072</v>
      </c>
      <c r="DA41" s="691">
        <f t="shared" si="13"/>
        <v>1924038904.9276657</v>
      </c>
      <c r="DB41" s="183">
        <f t="shared" si="21"/>
        <v>0</v>
      </c>
      <c r="DC41" s="949">
        <f t="shared" si="10"/>
        <v>2034</v>
      </c>
    </row>
    <row r="42" spans="1:107" x14ac:dyDescent="0.3">
      <c r="A42" s="690"/>
      <c r="B42" s="690"/>
      <c r="C42" s="1153">
        <f t="shared" si="23"/>
        <v>2048</v>
      </c>
      <c r="D42" s="899">
        <f t="shared" si="18"/>
        <v>21474836.48</v>
      </c>
      <c r="E42" s="899">
        <f t="shared" si="15"/>
        <v>43980465111.040001</v>
      </c>
      <c r="F42" s="898"/>
      <c r="G42" s="905" t="s">
        <v>732</v>
      </c>
      <c r="BQ42" s="618" t="s">
        <v>1434</v>
      </c>
      <c r="BS42" s="1155" t="s">
        <v>1278</v>
      </c>
      <c r="BT42" s="1164">
        <f>'Network Cities'!S37*3</f>
        <v>8831250001.5</v>
      </c>
      <c r="BU42" s="88"/>
      <c r="BV42" s="253"/>
      <c r="BW42" s="253"/>
      <c r="BX42" s="1215"/>
      <c r="BY42" s="181"/>
      <c r="CB42" s="12"/>
      <c r="CH42" s="332" t="s">
        <v>989</v>
      </c>
      <c r="CI42" s="953">
        <f t="shared" si="24"/>
        <v>2035</v>
      </c>
      <c r="CJ42" s="691">
        <f t="shared" si="25"/>
        <v>120767699041545.91</v>
      </c>
      <c r="CK42" s="894">
        <f t="shared" si="26"/>
        <v>2.5000000000000001E-2</v>
      </c>
      <c r="CL42" s="691">
        <f t="shared" si="27"/>
        <v>3019192476038.6479</v>
      </c>
      <c r="CN42" s="76"/>
      <c r="CO42" s="953">
        <f t="shared" si="19"/>
        <v>2035</v>
      </c>
      <c r="CP42" s="691">
        <f t="shared" si="22"/>
        <v>10737418.24</v>
      </c>
      <c r="CQ42" s="987">
        <v>64</v>
      </c>
      <c r="CR42" s="875">
        <f t="shared" si="16"/>
        <v>687194767.36000001</v>
      </c>
      <c r="CS42" s="969"/>
      <c r="CT42" s="977"/>
      <c r="CU42" s="691">
        <f t="shared" si="17"/>
        <v>0</v>
      </c>
      <c r="CW42" s="691">
        <f t="shared" si="7"/>
        <v>0</v>
      </c>
      <c r="CX42" s="691">
        <f t="shared" si="20"/>
        <v>10977936408.576</v>
      </c>
      <c r="CY42" s="894">
        <f t="shared" si="14"/>
        <v>0.125</v>
      </c>
      <c r="CZ42" s="975">
        <f t="shared" si="11"/>
        <v>1372242051.072</v>
      </c>
      <c r="DA42" s="691">
        <f t="shared" si="13"/>
        <v>1924038904.9276657</v>
      </c>
      <c r="DB42" s="183">
        <f t="shared" si="21"/>
        <v>0</v>
      </c>
      <c r="DC42" s="949">
        <f t="shared" si="10"/>
        <v>2035</v>
      </c>
    </row>
    <row r="43" spans="1:107" x14ac:dyDescent="0.3">
      <c r="A43" s="690"/>
      <c r="B43" s="690"/>
      <c r="C43" s="1154">
        <f t="shared" si="23"/>
        <v>4096</v>
      </c>
      <c r="D43" s="906">
        <f t="shared" si="18"/>
        <v>21474836.48</v>
      </c>
      <c r="E43" s="906">
        <f t="shared" si="15"/>
        <v>87960930222.080002</v>
      </c>
      <c r="F43" s="907"/>
      <c r="G43" s="908" t="s">
        <v>732</v>
      </c>
      <c r="BS43" s="1155" t="s">
        <v>1161</v>
      </c>
      <c r="BT43" s="1164">
        <f>'POP Dimensions'!H17*200%</f>
        <v>1374389534.72</v>
      </c>
      <c r="BU43" s="88"/>
      <c r="BV43" s="600"/>
      <c r="BW43" s="253"/>
      <c r="BX43" s="253"/>
      <c r="BY43" s="181"/>
      <c r="CB43" s="12"/>
      <c r="CH43" s="332" t="s">
        <v>989</v>
      </c>
      <c r="CI43" s="953">
        <f t="shared" si="24"/>
        <v>2036</v>
      </c>
      <c r="CJ43" s="691">
        <f t="shared" si="25"/>
        <v>123786891517584.55</v>
      </c>
      <c r="CK43" s="894">
        <f t="shared" si="26"/>
        <v>2.5000000000000001E-2</v>
      </c>
      <c r="CL43" s="691">
        <f t="shared" si="27"/>
        <v>3094672287939.6138</v>
      </c>
      <c r="CN43" s="76"/>
      <c r="CO43" s="953">
        <f t="shared" si="19"/>
        <v>2036</v>
      </c>
      <c r="CP43" s="691">
        <f t="shared" si="22"/>
        <v>10737418.24</v>
      </c>
      <c r="CQ43" s="987">
        <v>64</v>
      </c>
      <c r="CR43" s="875">
        <f t="shared" si="16"/>
        <v>687194767.36000001</v>
      </c>
      <c r="CS43" s="969"/>
      <c r="CT43" s="977"/>
      <c r="CU43" s="691">
        <f t="shared" si="17"/>
        <v>0</v>
      </c>
      <c r="CW43" s="691">
        <f t="shared" si="7"/>
        <v>0</v>
      </c>
      <c r="CX43" s="691">
        <f t="shared" si="20"/>
        <v>10977936408.576</v>
      </c>
      <c r="CY43" s="894">
        <f t="shared" si="14"/>
        <v>0.125</v>
      </c>
      <c r="CZ43" s="975">
        <f t="shared" si="11"/>
        <v>1372242051.072</v>
      </c>
      <c r="DA43" s="691">
        <f t="shared" si="13"/>
        <v>1924038904.9276657</v>
      </c>
      <c r="DB43" s="183">
        <f t="shared" si="21"/>
        <v>0</v>
      </c>
      <c r="DC43" s="949">
        <f t="shared" si="10"/>
        <v>2036</v>
      </c>
    </row>
    <row r="44" spans="1:107" x14ac:dyDescent="0.3">
      <c r="A44" s="690"/>
      <c r="B44" s="690"/>
      <c r="BQ44" s="1162" t="s">
        <v>1433</v>
      </c>
      <c r="BR44" s="1160"/>
      <c r="BS44" s="1161" t="s">
        <v>1249</v>
      </c>
      <c r="BT44" s="1164">
        <f>'POP Dimensions'!J17*150%</f>
        <v>2061584302.0799999</v>
      </c>
      <c r="BU44" s="88"/>
      <c r="BV44" s="253"/>
      <c r="BW44" s="254"/>
      <c r="BX44" s="253"/>
      <c r="BY44" s="181"/>
      <c r="CB44" s="12"/>
      <c r="CH44" s="332" t="s">
        <v>989</v>
      </c>
      <c r="CI44" s="953">
        <f t="shared" si="24"/>
        <v>2037</v>
      </c>
      <c r="CJ44" s="691">
        <f t="shared" si="25"/>
        <v>126881563805524.16</v>
      </c>
      <c r="CK44" s="894">
        <f t="shared" si="26"/>
        <v>2.5000000000000001E-2</v>
      </c>
      <c r="CL44" s="691">
        <f t="shared" si="27"/>
        <v>3172039095138.104</v>
      </c>
      <c r="CN44" s="76"/>
      <c r="CO44" s="953">
        <f t="shared" si="19"/>
        <v>2037</v>
      </c>
      <c r="CP44" s="691">
        <f t="shared" si="22"/>
        <v>10737418.24</v>
      </c>
      <c r="CQ44" s="987">
        <v>64</v>
      </c>
      <c r="CR44" s="875">
        <f t="shared" si="16"/>
        <v>687194767.36000001</v>
      </c>
      <c r="CS44" s="969"/>
      <c r="CT44" s="977"/>
      <c r="CU44" s="691">
        <f t="shared" si="17"/>
        <v>0</v>
      </c>
      <c r="CW44" s="691">
        <f t="shared" si="7"/>
        <v>0</v>
      </c>
      <c r="CX44" s="691">
        <f t="shared" si="20"/>
        <v>10977936408.576</v>
      </c>
      <c r="CY44" s="894">
        <f t="shared" si="14"/>
        <v>0.125</v>
      </c>
      <c r="CZ44" s="975">
        <f t="shared" si="11"/>
        <v>1372242051.072</v>
      </c>
      <c r="DA44" s="691">
        <f t="shared" si="13"/>
        <v>1924038904.9276657</v>
      </c>
      <c r="DB44" s="183">
        <f t="shared" si="21"/>
        <v>0</v>
      </c>
      <c r="DC44" s="949">
        <f t="shared" si="10"/>
        <v>2037</v>
      </c>
    </row>
    <row r="45" spans="1:107" x14ac:dyDescent="0.3">
      <c r="A45" s="690"/>
      <c r="B45" s="690"/>
      <c r="BQ45" s="1163" t="s">
        <v>1437</v>
      </c>
      <c r="BS45" s="1157" t="s">
        <v>148</v>
      </c>
      <c r="BT45" s="1164">
        <v>0</v>
      </c>
      <c r="BU45" s="88"/>
      <c r="BV45" s="254"/>
      <c r="BW45" s="254"/>
      <c r="BX45" s="253"/>
      <c r="BY45" s="181"/>
      <c r="CB45" s="12"/>
      <c r="CH45" s="332" t="s">
        <v>989</v>
      </c>
      <c r="CI45" s="953">
        <f t="shared" si="24"/>
        <v>2038</v>
      </c>
      <c r="CJ45" s="691">
        <f t="shared" si="25"/>
        <v>130053602900662.27</v>
      </c>
      <c r="CK45" s="894">
        <f t="shared" si="26"/>
        <v>2.5000000000000001E-2</v>
      </c>
      <c r="CL45" s="691">
        <f t="shared" si="27"/>
        <v>3251340072516.5566</v>
      </c>
      <c r="CN45" s="76"/>
      <c r="CO45" s="953">
        <f t="shared" si="19"/>
        <v>2038</v>
      </c>
      <c r="CP45" s="691">
        <f t="shared" si="22"/>
        <v>10737418.24</v>
      </c>
      <c r="CQ45" s="987">
        <v>64</v>
      </c>
      <c r="CR45" s="875">
        <f t="shared" si="16"/>
        <v>687194767.36000001</v>
      </c>
      <c r="CS45" s="969"/>
      <c r="CT45" s="977"/>
      <c r="CU45" s="691">
        <f t="shared" si="17"/>
        <v>0</v>
      </c>
      <c r="CW45" s="691">
        <f t="shared" si="7"/>
        <v>0</v>
      </c>
      <c r="CX45" s="691">
        <f t="shared" si="20"/>
        <v>10977936408.576</v>
      </c>
      <c r="CY45" s="894">
        <f t="shared" si="14"/>
        <v>0.125</v>
      </c>
      <c r="CZ45" s="975">
        <f t="shared" si="11"/>
        <v>1372242051.072</v>
      </c>
      <c r="DA45" s="691">
        <f t="shared" si="13"/>
        <v>1924038904.9276657</v>
      </c>
      <c r="DB45" s="183">
        <f t="shared" si="21"/>
        <v>0</v>
      </c>
      <c r="DC45" s="949">
        <f t="shared" si="10"/>
        <v>2038</v>
      </c>
    </row>
    <row r="46" spans="1:107" x14ac:dyDescent="0.3">
      <c r="A46" s="690"/>
      <c r="B46" s="690"/>
      <c r="BS46" s="1150" t="s">
        <v>948</v>
      </c>
      <c r="BT46" s="1216">
        <f>'2031 - ŔÉŚ 8. É95%'!BJ29</f>
        <v>8441488311.3708534</v>
      </c>
      <c r="BU46" s="88"/>
      <c r="BV46" s="253"/>
      <c r="BW46" s="253"/>
      <c r="BX46" s="253"/>
      <c r="BY46" s="181" t="s">
        <v>805</v>
      </c>
      <c r="BZ46" s="1" t="s">
        <v>998</v>
      </c>
      <c r="CB46" s="19">
        <v>0.01</v>
      </c>
      <c r="CH46" s="332" t="s">
        <v>989</v>
      </c>
      <c r="CI46" s="953">
        <f t="shared" si="24"/>
        <v>2039</v>
      </c>
      <c r="CJ46" s="691">
        <f t="shared" si="25"/>
        <v>133304942973178.83</v>
      </c>
      <c r="CK46" s="894">
        <f t="shared" si="26"/>
        <v>2.5000000000000001E-2</v>
      </c>
      <c r="CL46" s="691">
        <f t="shared" si="27"/>
        <v>3332623574329.4707</v>
      </c>
      <c r="CN46" s="76"/>
      <c r="CO46" s="953">
        <f t="shared" si="19"/>
        <v>2039</v>
      </c>
      <c r="CP46" s="691">
        <f t="shared" si="22"/>
        <v>10737418.24</v>
      </c>
      <c r="CQ46" s="987">
        <v>64</v>
      </c>
      <c r="CR46" s="875">
        <f t="shared" si="16"/>
        <v>687194767.36000001</v>
      </c>
      <c r="CS46" s="969"/>
      <c r="CT46" s="977"/>
      <c r="CU46" s="691">
        <f t="shared" si="17"/>
        <v>0</v>
      </c>
      <c r="CW46" s="691">
        <f t="shared" si="7"/>
        <v>0</v>
      </c>
      <c r="CX46" s="691">
        <f t="shared" si="20"/>
        <v>10977936408.576</v>
      </c>
      <c r="CY46" s="894">
        <f t="shared" si="14"/>
        <v>0.125</v>
      </c>
      <c r="CZ46" s="975">
        <f t="shared" si="11"/>
        <v>1372242051.072</v>
      </c>
      <c r="DA46" s="691">
        <f t="shared" si="13"/>
        <v>1924038904.9276657</v>
      </c>
      <c r="DB46" s="183">
        <f t="shared" si="21"/>
        <v>0</v>
      </c>
      <c r="DC46" s="949">
        <f t="shared" si="10"/>
        <v>2039</v>
      </c>
    </row>
    <row r="47" spans="1:107" x14ac:dyDescent="0.3">
      <c r="K47" s="690"/>
      <c r="BS47" s="122" t="s">
        <v>1385</v>
      </c>
      <c r="BT47" s="183">
        <f>SUM(BT35:BT46)</f>
        <v>18003679445.670853</v>
      </c>
      <c r="BU47" s="251"/>
      <c r="BV47" s="76" t="s">
        <v>805</v>
      </c>
      <c r="BW47" s="691">
        <f>AE82</f>
        <v>6630548568.2489748</v>
      </c>
      <c r="BX47" s="76"/>
      <c r="BY47" s="691">
        <f>BW47</f>
        <v>6630548568.2489748</v>
      </c>
      <c r="BZ47" s="691">
        <f>CJ31</f>
        <v>92042471679365.094</v>
      </c>
      <c r="CA47" s="76"/>
      <c r="CB47" s="736">
        <f>BZ47*CB46</f>
        <v>920424716793.651</v>
      </c>
      <c r="CC47" s="76"/>
      <c r="CD47" s="208">
        <f>CB47/BY47</f>
        <v>138.81577177508268</v>
      </c>
      <c r="CE47" s="76"/>
      <c r="CF47" s="76"/>
      <c r="CG47" s="76"/>
      <c r="CH47" s="332" t="s">
        <v>989</v>
      </c>
      <c r="CI47" s="953">
        <f t="shared" si="24"/>
        <v>2040</v>
      </c>
      <c r="CJ47" s="691">
        <f t="shared" si="25"/>
        <v>136637566547508.3</v>
      </c>
      <c r="CK47" s="894">
        <f t="shared" si="26"/>
        <v>2.5000000000000001E-2</v>
      </c>
      <c r="CL47" s="691">
        <f t="shared" si="27"/>
        <v>3415939163687.7075</v>
      </c>
      <c r="CN47" s="76"/>
      <c r="CO47" s="953">
        <f t="shared" si="19"/>
        <v>2040</v>
      </c>
      <c r="CP47" s="691">
        <f t="shared" si="22"/>
        <v>10737418.24</v>
      </c>
      <c r="CQ47" s="987">
        <v>64</v>
      </c>
      <c r="CR47" s="875">
        <f t="shared" si="16"/>
        <v>687194767.36000001</v>
      </c>
      <c r="CS47" s="969"/>
      <c r="CT47" s="977"/>
      <c r="CU47" s="691">
        <f t="shared" si="17"/>
        <v>0</v>
      </c>
      <c r="CW47" s="691">
        <f t="shared" si="7"/>
        <v>0</v>
      </c>
      <c r="CX47" s="691">
        <f t="shared" si="20"/>
        <v>10977936408.576</v>
      </c>
      <c r="CY47" s="894">
        <f t="shared" si="14"/>
        <v>0.125</v>
      </c>
      <c r="CZ47" s="975">
        <f t="shared" si="11"/>
        <v>1372242051.072</v>
      </c>
      <c r="DA47" s="691">
        <f t="shared" si="13"/>
        <v>1924038904.9276657</v>
      </c>
      <c r="DB47" s="183">
        <f t="shared" si="21"/>
        <v>0</v>
      </c>
      <c r="DC47" s="949">
        <f t="shared" si="10"/>
        <v>2040</v>
      </c>
    </row>
    <row r="48" spans="1:107" ht="16.2" thickBot="1" x14ac:dyDescent="0.35">
      <c r="BS48" s="1150" t="s">
        <v>309</v>
      </c>
      <c r="BT48" s="182">
        <f>BT47*BT34</f>
        <v>214394123048.28656</v>
      </c>
      <c r="BX48" s="565" t="s">
        <v>894</v>
      </c>
      <c r="BY48" s="208">
        <f>BY32/BY47</f>
        <v>21.393340561850092</v>
      </c>
      <c r="BZ48" s="367"/>
      <c r="CB48" s="192">
        <f>BY60</f>
        <v>148480132200.6868</v>
      </c>
      <c r="CC48" s="193"/>
      <c r="CD48" s="1" t="s">
        <v>1339</v>
      </c>
      <c r="CH48" s="332" t="s">
        <v>989</v>
      </c>
      <c r="CI48" s="953">
        <f t="shared" si="24"/>
        <v>2041</v>
      </c>
      <c r="CJ48" s="691">
        <f t="shared" si="25"/>
        <v>140053505711196</v>
      </c>
      <c r="CK48" s="894">
        <f t="shared" si="26"/>
        <v>2.5000000000000001E-2</v>
      </c>
      <c r="CL48" s="691">
        <f t="shared" si="27"/>
        <v>3501337642779.9004</v>
      </c>
      <c r="CN48" s="76"/>
      <c r="CO48" s="953">
        <f t="shared" si="19"/>
        <v>2041</v>
      </c>
      <c r="CP48" s="691">
        <f t="shared" si="22"/>
        <v>10737418.24</v>
      </c>
      <c r="CQ48" s="987">
        <v>64</v>
      </c>
      <c r="CR48" s="875">
        <f t="shared" si="16"/>
        <v>687194767.36000001</v>
      </c>
      <c r="CS48" s="969"/>
      <c r="CT48" s="977"/>
      <c r="CU48" s="691">
        <f t="shared" si="17"/>
        <v>0</v>
      </c>
      <c r="CW48" s="691">
        <f t="shared" si="7"/>
        <v>0</v>
      </c>
      <c r="CX48" s="691">
        <f t="shared" si="20"/>
        <v>10977936408.576</v>
      </c>
      <c r="CY48" s="894">
        <f t="shared" si="14"/>
        <v>0.125</v>
      </c>
      <c r="CZ48" s="975">
        <f t="shared" si="11"/>
        <v>1372242051.072</v>
      </c>
      <c r="DA48" s="691">
        <f t="shared" si="13"/>
        <v>1924038904.9276657</v>
      </c>
      <c r="DB48" s="183">
        <f t="shared" si="21"/>
        <v>0</v>
      </c>
      <c r="DC48" s="949">
        <f t="shared" si="10"/>
        <v>2041</v>
      </c>
    </row>
    <row r="49" spans="3:107" ht="16.2" thickBot="1" x14ac:dyDescent="0.35">
      <c r="C49" s="1" t="s">
        <v>801</v>
      </c>
      <c r="BS49" s="1150" t="s">
        <v>308</v>
      </c>
      <c r="BT49" s="182">
        <f>BT48*BU49</f>
        <v>141849583632.43784</v>
      </c>
      <c r="BU49" s="680">
        <v>0.66163000000000005</v>
      </c>
      <c r="BV49" s="1" t="s">
        <v>1275</v>
      </c>
      <c r="BX49" s="565" t="s">
        <v>888</v>
      </c>
      <c r="BY49" s="953">
        <v>8</v>
      </c>
      <c r="BZ49" s="1" t="s">
        <v>889</v>
      </c>
      <c r="CD49" s="1" t="s">
        <v>1340</v>
      </c>
      <c r="CH49" s="332" t="s">
        <v>989</v>
      </c>
      <c r="CI49" s="953">
        <f t="shared" si="24"/>
        <v>2042</v>
      </c>
      <c r="CJ49" s="691">
        <f t="shared" si="25"/>
        <v>143554843353975.91</v>
      </c>
      <c r="CK49" s="894">
        <f t="shared" si="26"/>
        <v>2.5000000000000001E-2</v>
      </c>
      <c r="CL49" s="691">
        <f t="shared" si="27"/>
        <v>3588871083849.3979</v>
      </c>
      <c r="CN49" s="76"/>
      <c r="CO49" s="953">
        <f t="shared" si="19"/>
        <v>2042</v>
      </c>
      <c r="CP49" s="691">
        <f t="shared" si="22"/>
        <v>10737418.24</v>
      </c>
      <c r="CQ49" s="987">
        <v>64</v>
      </c>
      <c r="CR49" s="875">
        <f t="shared" si="16"/>
        <v>687194767.36000001</v>
      </c>
      <c r="CS49" s="969"/>
      <c r="CT49" s="977"/>
      <c r="CU49" s="691">
        <f t="shared" si="17"/>
        <v>0</v>
      </c>
      <c r="CW49" s="691">
        <f t="shared" si="7"/>
        <v>0</v>
      </c>
      <c r="CX49" s="691">
        <f t="shared" si="20"/>
        <v>10977936408.576</v>
      </c>
      <c r="CY49" s="894">
        <f t="shared" si="14"/>
        <v>0.125</v>
      </c>
      <c r="CZ49" s="975">
        <f t="shared" si="11"/>
        <v>1372242051.072</v>
      </c>
      <c r="DA49" s="691">
        <f t="shared" si="13"/>
        <v>1924038904.9276657</v>
      </c>
      <c r="DB49" s="183">
        <f t="shared" si="21"/>
        <v>0</v>
      </c>
      <c r="DC49" s="949">
        <f t="shared" si="10"/>
        <v>2042</v>
      </c>
    </row>
    <row r="50" spans="3:107" x14ac:dyDescent="0.3">
      <c r="C50" s="13"/>
      <c r="D50" s="4"/>
      <c r="E50" s="120" t="s">
        <v>275</v>
      </c>
      <c r="F50" s="4"/>
      <c r="G50" s="173" t="s">
        <v>288</v>
      </c>
      <c r="H50" s="462" t="s">
        <v>1367</v>
      </c>
      <c r="I50" s="170" t="s">
        <v>1373</v>
      </c>
      <c r="J50" s="175" t="s">
        <v>297</v>
      </c>
      <c r="K50" s="170" t="s">
        <v>802</v>
      </c>
      <c r="BT50" s="239"/>
      <c r="BV50" s="1" t="s">
        <v>1276</v>
      </c>
      <c r="BX50" s="565" t="s">
        <v>890</v>
      </c>
      <c r="BY50" s="208">
        <f>BY48/BY49</f>
        <v>2.6741675702312615</v>
      </c>
      <c r="CH50" s="332" t="s">
        <v>989</v>
      </c>
      <c r="CI50" s="953">
        <f t="shared" si="24"/>
        <v>2043</v>
      </c>
      <c r="CJ50" s="691">
        <f t="shared" si="25"/>
        <v>147143714437825.31</v>
      </c>
      <c r="CK50" s="894">
        <f t="shared" si="26"/>
        <v>2.5000000000000001E-2</v>
      </c>
      <c r="CL50" s="691">
        <f t="shared" si="27"/>
        <v>3678592860945.6328</v>
      </c>
      <c r="CN50" s="76"/>
      <c r="CO50" s="953">
        <f t="shared" si="19"/>
        <v>2043</v>
      </c>
      <c r="CP50" s="691">
        <f t="shared" si="22"/>
        <v>10737418.24</v>
      </c>
      <c r="CQ50" s="987">
        <v>64</v>
      </c>
      <c r="CR50" s="875">
        <f t="shared" si="16"/>
        <v>687194767.36000001</v>
      </c>
      <c r="CS50" s="969"/>
      <c r="CT50" s="977"/>
      <c r="CU50" s="691">
        <f t="shared" si="17"/>
        <v>0</v>
      </c>
      <c r="CW50" s="691">
        <f t="shared" si="7"/>
        <v>0</v>
      </c>
      <c r="CX50" s="691">
        <f t="shared" si="20"/>
        <v>10977936408.576</v>
      </c>
      <c r="CY50" s="894">
        <f t="shared" si="14"/>
        <v>0.125</v>
      </c>
      <c r="CZ50" s="975">
        <f t="shared" si="11"/>
        <v>1372242051.072</v>
      </c>
      <c r="DA50" s="691">
        <f t="shared" si="13"/>
        <v>1924038904.9276657</v>
      </c>
      <c r="DB50" s="183">
        <f t="shared" si="21"/>
        <v>0</v>
      </c>
      <c r="DC50" s="949">
        <f t="shared" si="10"/>
        <v>2043</v>
      </c>
    </row>
    <row r="51" spans="3:107" x14ac:dyDescent="0.3">
      <c r="C51" s="122"/>
      <c r="D51" s="7"/>
      <c r="E51" s="875">
        <f>E8</f>
        <v>18003679445.670853</v>
      </c>
      <c r="F51" s="7"/>
      <c r="G51" s="468" t="s">
        <v>1386</v>
      </c>
      <c r="H51" s="469"/>
      <c r="I51" s="470"/>
      <c r="J51" s="471"/>
      <c r="K51" s="470"/>
      <c r="BT51" s="277" t="s">
        <v>748</v>
      </c>
      <c r="BX51" s="239"/>
      <c r="BY51" s="76"/>
      <c r="CH51" s="332" t="s">
        <v>989</v>
      </c>
      <c r="CI51" s="953">
        <f t="shared" si="24"/>
        <v>2044</v>
      </c>
      <c r="CJ51" s="691">
        <f t="shared" si="25"/>
        <v>150822307298770.94</v>
      </c>
      <c r="CK51" s="894">
        <f t="shared" si="26"/>
        <v>2.5000000000000001E-2</v>
      </c>
      <c r="CL51" s="691">
        <f t="shared" si="27"/>
        <v>3770557682469.2734</v>
      </c>
      <c r="CN51" s="76"/>
      <c r="CO51" s="953">
        <f t="shared" si="19"/>
        <v>2044</v>
      </c>
      <c r="CP51" s="691">
        <f t="shared" si="22"/>
        <v>10737418.24</v>
      </c>
      <c r="CQ51" s="987">
        <v>64</v>
      </c>
      <c r="CR51" s="875">
        <f t="shared" si="16"/>
        <v>687194767.36000001</v>
      </c>
      <c r="CS51" s="969"/>
      <c r="CT51" s="977"/>
      <c r="CU51" s="691">
        <f t="shared" si="17"/>
        <v>0</v>
      </c>
      <c r="CW51" s="691">
        <f t="shared" si="7"/>
        <v>0</v>
      </c>
      <c r="CX51" s="691">
        <f t="shared" si="20"/>
        <v>10977936408.576</v>
      </c>
      <c r="CY51" s="894">
        <f t="shared" si="14"/>
        <v>0.125</v>
      </c>
      <c r="CZ51" s="975">
        <f t="shared" si="11"/>
        <v>1372242051.072</v>
      </c>
      <c r="DA51" s="691">
        <f t="shared" si="13"/>
        <v>1924038904.9276657</v>
      </c>
      <c r="DB51" s="183">
        <f t="shared" si="21"/>
        <v>0</v>
      </c>
      <c r="DC51" s="949">
        <f t="shared" si="10"/>
        <v>2044</v>
      </c>
    </row>
    <row r="52" spans="3:107" ht="16.2" thickBot="1" x14ac:dyDescent="0.35">
      <c r="C52" s="122"/>
      <c r="D52" s="7"/>
      <c r="E52" s="7"/>
      <c r="F52" s="127"/>
      <c r="G52" s="127" t="s">
        <v>280</v>
      </c>
      <c r="H52" s="7"/>
      <c r="I52" s="459" t="s">
        <v>282</v>
      </c>
      <c r="J52" s="122"/>
      <c r="K52" s="8"/>
      <c r="BT52" s="277" t="s">
        <v>747</v>
      </c>
      <c r="BV52" s="110" t="s">
        <v>746</v>
      </c>
      <c r="BX52" s="565" t="s">
        <v>891</v>
      </c>
      <c r="BY52" s="76"/>
      <c r="CH52" s="332" t="s">
        <v>989</v>
      </c>
      <c r="CI52" s="953">
        <f t="shared" si="24"/>
        <v>2045</v>
      </c>
      <c r="CJ52" s="691">
        <f t="shared" si="25"/>
        <v>154592864981240.22</v>
      </c>
      <c r="CK52" s="894">
        <f t="shared" si="26"/>
        <v>2.5000000000000001E-2</v>
      </c>
      <c r="CL52" s="691">
        <f t="shared" si="27"/>
        <v>3864821624531.0059</v>
      </c>
      <c r="CN52" s="76"/>
      <c r="CO52" s="953">
        <f t="shared" si="19"/>
        <v>2045</v>
      </c>
      <c r="CP52" s="691">
        <f t="shared" si="22"/>
        <v>10737418.24</v>
      </c>
      <c r="CQ52" s="987">
        <v>64</v>
      </c>
      <c r="CR52" s="875">
        <f t="shared" si="16"/>
        <v>687194767.36000001</v>
      </c>
      <c r="CS52" s="969"/>
      <c r="CT52" s="977"/>
      <c r="CU52" s="691">
        <f t="shared" si="17"/>
        <v>0</v>
      </c>
      <c r="CW52" s="691">
        <f t="shared" si="7"/>
        <v>0</v>
      </c>
      <c r="CX52" s="691">
        <f t="shared" si="20"/>
        <v>10977936408.576</v>
      </c>
      <c r="CY52" s="894">
        <f t="shared" si="14"/>
        <v>0.125</v>
      </c>
      <c r="CZ52" s="975">
        <f t="shared" si="11"/>
        <v>1372242051.072</v>
      </c>
      <c r="DA52" s="691">
        <f t="shared" si="13"/>
        <v>1924038904.9276657</v>
      </c>
      <c r="DB52" s="183">
        <f t="shared" si="21"/>
        <v>0</v>
      </c>
      <c r="DC52" s="949">
        <f t="shared" si="10"/>
        <v>2045</v>
      </c>
    </row>
    <row r="53" spans="3:107" ht="16.2" thickBot="1" x14ac:dyDescent="0.35">
      <c r="C53" s="122"/>
      <c r="D53" s="7"/>
      <c r="E53" s="7"/>
      <c r="F53" s="129">
        <v>0.25</v>
      </c>
      <c r="G53" s="130">
        <f>E57*F53</f>
        <v>250146268.20271733</v>
      </c>
      <c r="H53" s="460">
        <v>0.5</v>
      </c>
      <c r="I53" s="130">
        <f>G53*H53</f>
        <v>125073134.10135867</v>
      </c>
      <c r="J53" s="460">
        <v>0</v>
      </c>
      <c r="K53" s="458">
        <f>I53*J53</f>
        <v>0</v>
      </c>
      <c r="BR53" s="933">
        <f>BU53</f>
        <v>1024</v>
      </c>
      <c r="BS53" s="927" t="s">
        <v>745</v>
      </c>
      <c r="BT53" s="578">
        <f>BV53*BU53</f>
        <v>21990232555.52</v>
      </c>
      <c r="BU53" s="934">
        <v>1024</v>
      </c>
      <c r="BV53" s="578">
        <f>'POP Dimensions'!J15</f>
        <v>21474836.48</v>
      </c>
      <c r="BW53" s="239"/>
      <c r="BX53" s="565" t="s">
        <v>901</v>
      </c>
      <c r="BY53" s="484">
        <v>0.17</v>
      </c>
      <c r="BZ53" s="1" t="s">
        <v>895</v>
      </c>
      <c r="CH53" s="332" t="s">
        <v>989</v>
      </c>
      <c r="CI53" s="953">
        <f t="shared" si="24"/>
        <v>2046</v>
      </c>
      <c r="CJ53" s="691">
        <f t="shared" si="25"/>
        <v>158457686605771.22</v>
      </c>
      <c r="CK53" s="894">
        <f t="shared" si="26"/>
        <v>2.5000000000000001E-2</v>
      </c>
      <c r="CL53" s="691">
        <f t="shared" si="27"/>
        <v>3961442165144.2808</v>
      </c>
      <c r="CN53" s="76"/>
      <c r="CO53" s="953">
        <f t="shared" si="19"/>
        <v>2046</v>
      </c>
      <c r="CP53" s="691">
        <f t="shared" si="22"/>
        <v>10737418.24</v>
      </c>
      <c r="CQ53" s="987">
        <v>64</v>
      </c>
      <c r="CR53" s="875">
        <f t="shared" si="16"/>
        <v>687194767.36000001</v>
      </c>
      <c r="CS53" s="969"/>
      <c r="CT53" s="977"/>
      <c r="CU53" s="691">
        <f t="shared" si="17"/>
        <v>0</v>
      </c>
      <c r="CW53" s="691">
        <f t="shared" si="7"/>
        <v>0</v>
      </c>
      <c r="CX53" s="691">
        <f t="shared" si="20"/>
        <v>10977936408.576</v>
      </c>
      <c r="CY53" s="894">
        <f t="shared" si="14"/>
        <v>0.125</v>
      </c>
      <c r="CZ53" s="975">
        <f t="shared" si="11"/>
        <v>1372242051.072</v>
      </c>
      <c r="DA53" s="691">
        <f t="shared" si="13"/>
        <v>1924038904.9276657</v>
      </c>
      <c r="DB53" s="183">
        <f t="shared" si="21"/>
        <v>0</v>
      </c>
      <c r="DC53" s="949">
        <f t="shared" si="10"/>
        <v>2046</v>
      </c>
    </row>
    <row r="54" spans="3:107" ht="16.2" thickBot="1" x14ac:dyDescent="0.35">
      <c r="C54" s="122"/>
      <c r="D54" s="7"/>
      <c r="E54" s="7"/>
      <c r="F54" s="133"/>
      <c r="G54" s="134" t="s">
        <v>290</v>
      </c>
      <c r="H54" s="7"/>
      <c r="I54" s="457" t="s">
        <v>283</v>
      </c>
      <c r="J54" s="122"/>
      <c r="K54" s="8"/>
      <c r="BR54" s="927"/>
      <c r="BT54" s="999" t="s">
        <v>1355</v>
      </c>
      <c r="BU54" s="254"/>
      <c r="BV54" s="248" t="s">
        <v>1290</v>
      </c>
      <c r="BX54" s="566"/>
      <c r="BY54" s="76"/>
      <c r="CH54" s="332" t="s">
        <v>989</v>
      </c>
      <c r="CI54" s="953">
        <f t="shared" si="24"/>
        <v>2047</v>
      </c>
      <c r="CJ54" s="691">
        <f t="shared" si="25"/>
        <v>162419128770915.5</v>
      </c>
      <c r="CK54" s="894">
        <f t="shared" si="26"/>
        <v>2.5000000000000001E-2</v>
      </c>
      <c r="CL54" s="691">
        <f t="shared" si="27"/>
        <v>4060478219272.8877</v>
      </c>
      <c r="CN54" s="76"/>
      <c r="CO54" s="953">
        <f t="shared" si="19"/>
        <v>2047</v>
      </c>
      <c r="CP54" s="691">
        <f t="shared" si="22"/>
        <v>10737418.24</v>
      </c>
      <c r="CQ54" s="987">
        <v>64</v>
      </c>
      <c r="CR54" s="875">
        <f t="shared" si="16"/>
        <v>687194767.36000001</v>
      </c>
      <c r="CS54" s="969"/>
      <c r="CT54" s="977"/>
      <c r="CU54" s="691">
        <f t="shared" si="17"/>
        <v>0</v>
      </c>
      <c r="CW54" s="691">
        <f t="shared" si="7"/>
        <v>0</v>
      </c>
      <c r="CX54" s="691">
        <f t="shared" si="20"/>
        <v>10977936408.576</v>
      </c>
      <c r="CY54" s="894">
        <f t="shared" si="14"/>
        <v>0.125</v>
      </c>
      <c r="CZ54" s="975">
        <f t="shared" si="11"/>
        <v>1372242051.072</v>
      </c>
      <c r="DA54" s="691">
        <f t="shared" si="13"/>
        <v>1924038904.9276657</v>
      </c>
      <c r="DB54" s="183">
        <f t="shared" si="21"/>
        <v>0</v>
      </c>
      <c r="DC54" s="949">
        <f t="shared" si="10"/>
        <v>2047</v>
      </c>
    </row>
    <row r="55" spans="3:107" ht="16.2" thickBot="1" x14ac:dyDescent="0.35">
      <c r="C55" s="122"/>
      <c r="D55" s="7"/>
      <c r="E55" s="7"/>
      <c r="F55" s="133">
        <v>0.25</v>
      </c>
      <c r="G55" s="135">
        <f>E57*F55</f>
        <v>250146268.20271733</v>
      </c>
      <c r="H55" s="461">
        <v>0.9</v>
      </c>
      <c r="I55" s="135">
        <f>G55*H55</f>
        <v>225131641.3824456</v>
      </c>
      <c r="J55" s="461">
        <v>0</v>
      </c>
      <c r="K55" s="440">
        <f>I55*J55</f>
        <v>0</v>
      </c>
      <c r="BR55" s="239"/>
      <c r="BT55" s="1002" t="s">
        <v>867</v>
      </c>
      <c r="BU55" s="254"/>
      <c r="BV55" s="253"/>
      <c r="BX55" s="239"/>
      <c r="BY55" s="484">
        <v>0.17</v>
      </c>
      <c r="BZ55" s="32">
        <f>BY55</f>
        <v>0.17</v>
      </c>
      <c r="CH55" s="332" t="s">
        <v>989</v>
      </c>
      <c r="CI55" s="953">
        <f t="shared" si="24"/>
        <v>2048</v>
      </c>
      <c r="CJ55" s="691">
        <f t="shared" si="25"/>
        <v>166479606990188.38</v>
      </c>
      <c r="CK55" s="894">
        <f t="shared" si="26"/>
        <v>2.5000000000000001E-2</v>
      </c>
      <c r="CL55" s="691">
        <f t="shared" si="27"/>
        <v>4161990174754.7095</v>
      </c>
      <c r="CM55" s="895" t="s">
        <v>1280</v>
      </c>
      <c r="CN55" s="76"/>
      <c r="CO55" s="953">
        <f t="shared" si="19"/>
        <v>2048</v>
      </c>
      <c r="CP55" s="691">
        <f t="shared" si="22"/>
        <v>10737418.24</v>
      </c>
      <c r="CQ55" s="987">
        <v>64</v>
      </c>
      <c r="CR55" s="875">
        <f t="shared" si="16"/>
        <v>687194767.36000001</v>
      </c>
      <c r="CS55" s="969"/>
      <c r="CT55" s="977"/>
      <c r="CU55" s="691">
        <f t="shared" si="17"/>
        <v>0</v>
      </c>
      <c r="CW55" s="691">
        <f t="shared" si="7"/>
        <v>0</v>
      </c>
      <c r="CX55" s="691">
        <f t="shared" si="20"/>
        <v>10977936408.576</v>
      </c>
      <c r="CY55" s="894">
        <f t="shared" si="14"/>
        <v>0.125</v>
      </c>
      <c r="CZ55" s="975">
        <f t="shared" si="11"/>
        <v>1372242051.072</v>
      </c>
      <c r="DA55" s="691">
        <f t="shared" si="13"/>
        <v>1924038904.9276657</v>
      </c>
      <c r="DB55" s="183">
        <f t="shared" si="21"/>
        <v>0</v>
      </c>
      <c r="DC55" s="949">
        <f t="shared" si="10"/>
        <v>2048</v>
      </c>
    </row>
    <row r="56" spans="3:107" ht="18.600000000000001" thickBot="1" x14ac:dyDescent="0.4">
      <c r="C56" s="122"/>
      <c r="D56" s="7"/>
      <c r="E56" s="7"/>
      <c r="F56" s="136"/>
      <c r="G56" s="136" t="s">
        <v>279</v>
      </c>
      <c r="H56" s="7"/>
      <c r="I56" s="451" t="s">
        <v>284</v>
      </c>
      <c r="J56" s="122"/>
      <c r="K56" s="8"/>
      <c r="S56" s="88"/>
      <c r="BR56" s="239"/>
      <c r="BT56" s="719">
        <f>BT48-BT53</f>
        <v>192403890492.76657</v>
      </c>
      <c r="BU56" s="253"/>
      <c r="BV56" s="253"/>
      <c r="BW56" s="253"/>
      <c r="BX56" s="239" t="s">
        <v>892</v>
      </c>
      <c r="BY56" s="615">
        <f>BZ58</f>
        <v>15.730397471948596</v>
      </c>
      <c r="BZ56" s="569" t="s">
        <v>980</v>
      </c>
      <c r="CA56" s="569"/>
      <c r="CB56" s="181"/>
      <c r="CC56" s="181"/>
      <c r="CD56" s="252"/>
      <c r="CE56" s="252"/>
      <c r="CF56" s="252"/>
      <c r="CG56" s="252"/>
      <c r="CM56" s="1"/>
      <c r="CS56" s="979">
        <f>SUM(CS22:CS55)</f>
        <v>15.975</v>
      </c>
      <c r="CT56" s="979">
        <f>SUM(CT22:CT55)</f>
        <v>0</v>
      </c>
    </row>
    <row r="57" spans="3:107" ht="16.8" thickTop="1" thickBot="1" x14ac:dyDescent="0.35">
      <c r="C57" s="137" t="s">
        <v>291</v>
      </c>
      <c r="D57" s="138">
        <f>E57/E51</f>
        <v>5.5576698964803502E-2</v>
      </c>
      <c r="E57" s="139">
        <f>E14</f>
        <v>1000585072.8108693</v>
      </c>
      <c r="F57" s="140">
        <v>0.5</v>
      </c>
      <c r="G57" s="139">
        <f>E57*F57</f>
        <v>500292536.40543467</v>
      </c>
      <c r="H57" s="463">
        <v>0.95</v>
      </c>
      <c r="I57" s="139">
        <f>G57*H57</f>
        <v>475277909.58516294</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7" t="s">
        <v>1293</v>
      </c>
      <c r="BT57" s="1003"/>
      <c r="BU57" s="253"/>
      <c r="BV57" s="877" t="s">
        <v>1293</v>
      </c>
      <c r="BW57" s="252"/>
      <c r="BX57" s="239"/>
      <c r="BY57" s="208">
        <f>BY50</f>
        <v>2.6741675702312615</v>
      </c>
      <c r="BZ57" s="80">
        <f>BY57</f>
        <v>2.6741675702312615</v>
      </c>
      <c r="CW57" s="77" t="s">
        <v>966</v>
      </c>
      <c r="CX57" s="77"/>
      <c r="CY57" s="77" t="s">
        <v>965</v>
      </c>
      <c r="CZ57" s="77"/>
      <c r="DA57" s="77"/>
    </row>
    <row r="58" spans="3:107"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7" t="s">
        <v>1294</v>
      </c>
      <c r="BT58" s="996">
        <f>BT56*BU58</f>
        <v>1924038904.9276657</v>
      </c>
      <c r="BU58" s="923">
        <v>0.01</v>
      </c>
      <c r="BV58" s="924" t="s">
        <v>1443</v>
      </c>
      <c r="BW58" s="925"/>
      <c r="BX58" s="239"/>
      <c r="BY58" s="76"/>
      <c r="BZ58" s="1">
        <f>BZ57/BZ55</f>
        <v>15.730397471948596</v>
      </c>
      <c r="CW58" s="77" t="s">
        <v>785</v>
      </c>
      <c r="CX58" s="77"/>
      <c r="CY58" s="77" t="s">
        <v>962</v>
      </c>
      <c r="CZ58" s="77"/>
      <c r="DA58" s="77"/>
    </row>
    <row r="59" spans="3:107"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76"/>
      <c r="BQ59" s="410"/>
      <c r="BR59" s="928"/>
      <c r="BS59" s="948" t="s">
        <v>1295</v>
      </c>
      <c r="BT59" s="911">
        <f>BT56*BU59</f>
        <v>3848077809.8553314</v>
      </c>
      <c r="BU59" s="912">
        <v>0.02</v>
      </c>
      <c r="BV59" s="875" t="s">
        <v>1162</v>
      </c>
      <c r="BW59" s="126"/>
      <c r="BX59" s="239"/>
      <c r="BY59" s="76"/>
      <c r="CD59" s="32"/>
    </row>
    <row r="60" spans="3:107" ht="16.2" thickBot="1" x14ac:dyDescent="0.35">
      <c r="C60" s="397" t="s">
        <v>276</v>
      </c>
      <c r="D60" s="398">
        <f>100%-D57-D63</f>
        <v>0.78125</v>
      </c>
      <c r="E60" s="399">
        <f>E51*D60</f>
        <v>14065374566.930353</v>
      </c>
      <c r="F60" s="400">
        <v>1</v>
      </c>
      <c r="G60" s="399">
        <f>E60*F60</f>
        <v>14065374566.930353</v>
      </c>
      <c r="H60" s="464">
        <v>0.9</v>
      </c>
      <c r="I60" s="399">
        <f>G60*H60</f>
        <v>12658837110.237318</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8" t="s">
        <v>1296</v>
      </c>
      <c r="BT60" s="911">
        <f>BT56*BU60</f>
        <v>7696155619.7106628</v>
      </c>
      <c r="BU60" s="912">
        <v>0.04</v>
      </c>
      <c r="BV60" s="875" t="s">
        <v>1441</v>
      </c>
      <c r="BW60" s="126"/>
      <c r="BX60" s="239"/>
      <c r="BY60" s="691">
        <f>BY32+BY47</f>
        <v>148480132200.6868</v>
      </c>
      <c r="BZ60" s="1" t="s">
        <v>958</v>
      </c>
      <c r="CM60" s="1"/>
      <c r="CQ60" s="1"/>
      <c r="DB60" s="1"/>
      <c r="DC60" s="1"/>
    </row>
    <row r="61" spans="3:107"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10"/>
      <c r="BR61" s="927"/>
      <c r="BS61" s="948" t="s">
        <v>1297</v>
      </c>
      <c r="BT61" s="911">
        <f>BT56*BU61</f>
        <v>11544233429.565994</v>
      </c>
      <c r="BU61" s="912">
        <v>0.06</v>
      </c>
      <c r="BV61" s="875" t="s">
        <v>1303</v>
      </c>
      <c r="BW61" s="126"/>
      <c r="BX61" s="253"/>
      <c r="BY61" s="647">
        <f>BY60/BY47</f>
        <v>22.393340561850088</v>
      </c>
    </row>
    <row r="62" spans="3:107"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8" t="s">
        <v>1300</v>
      </c>
      <c r="BT62" s="911">
        <f>BT56*BU62</f>
        <v>17316350144.348991</v>
      </c>
      <c r="BU62" s="912">
        <v>0.09</v>
      </c>
      <c r="BV62" s="410" t="s">
        <v>1442</v>
      </c>
      <c r="BW62" s="126"/>
      <c r="BX62" s="253"/>
    </row>
    <row r="63" spans="3:107" ht="16.2" thickBot="1" x14ac:dyDescent="0.35">
      <c r="C63" s="149" t="s">
        <v>737</v>
      </c>
      <c r="D63" s="150">
        <f>E63/E51</f>
        <v>0.16317330103519651</v>
      </c>
      <c r="E63" s="151">
        <f>E21</f>
        <v>2937719805.9296298</v>
      </c>
      <c r="F63" s="152">
        <v>0.3</v>
      </c>
      <c r="G63" s="151">
        <f>E63*F63</f>
        <v>881315941.77888894</v>
      </c>
      <c r="H63" s="465">
        <v>0.9</v>
      </c>
      <c r="I63" s="151">
        <f>G63*H63</f>
        <v>793184347.60100007</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26"/>
      <c r="BP63" s="410"/>
      <c r="BQ63" s="410"/>
      <c r="BR63" s="927"/>
      <c r="BS63" s="948" t="s">
        <v>1305</v>
      </c>
      <c r="BT63" s="911">
        <f>BT56*BU63</f>
        <v>7696155619.7106628</v>
      </c>
      <c r="BU63" s="912">
        <v>0.04</v>
      </c>
      <c r="BV63" s="410" t="s">
        <v>148</v>
      </c>
      <c r="BW63" s="126"/>
      <c r="BX63" s="253"/>
    </row>
    <row r="64" spans="3:107"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64"/>
      <c r="BQ64" s="106"/>
      <c r="BR64" s="929"/>
      <c r="BS64" s="938"/>
      <c r="BT64" s="1004"/>
      <c r="BU64" s="1005"/>
      <c r="BV64" s="1005"/>
      <c r="BW64" s="903"/>
      <c r="BX64" s="253"/>
    </row>
    <row r="65" spans="3:107" ht="16.2" thickBot="1" x14ac:dyDescent="0.35">
      <c r="C65" s="141"/>
      <c r="D65" s="429"/>
      <c r="E65" s="371"/>
      <c r="F65" s="430">
        <v>0.25</v>
      </c>
      <c r="G65" s="432">
        <f>E63*F65</f>
        <v>734429951.48240745</v>
      </c>
      <c r="H65" s="466">
        <v>0.95</v>
      </c>
      <c r="I65" s="432">
        <f>G65*H65</f>
        <v>697708453.90828705</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64"/>
      <c r="BQ65" s="106"/>
      <c r="BR65" s="927"/>
      <c r="BS65" s="939" t="s">
        <v>1299</v>
      </c>
      <c r="BT65" s="1006">
        <f>BT53</f>
        <v>21990232555.52</v>
      </c>
      <c r="BU65" s="935">
        <f>BT65/BT56</f>
        <v>0.11429203691879986</v>
      </c>
      <c r="BV65" s="898" t="s">
        <v>1311</v>
      </c>
      <c r="BW65" s="905"/>
      <c r="BX65" s="253"/>
    </row>
    <row r="66" spans="3:107"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64"/>
      <c r="BQ66" s="106"/>
      <c r="BR66" s="106"/>
      <c r="BS66" s="940" t="s">
        <v>1325</v>
      </c>
      <c r="BT66" s="930">
        <f>BT56*BU66</f>
        <v>1924038904.9276657</v>
      </c>
      <c r="BU66" s="931">
        <v>0.01</v>
      </c>
      <c r="BV66" s="898" t="s">
        <v>1315</v>
      </c>
      <c r="BW66" s="905"/>
      <c r="BX66" s="946">
        <v>272</v>
      </c>
      <c r="BY66" s="181" t="s">
        <v>1314</v>
      </c>
    </row>
    <row r="67" spans="3:107" ht="16.2" thickBot="1" x14ac:dyDescent="0.35">
      <c r="C67" s="122"/>
      <c r="D67" s="7"/>
      <c r="E67" s="7"/>
      <c r="F67" s="153">
        <v>0.2</v>
      </c>
      <c r="G67" s="99">
        <f>E63*F67</f>
        <v>587543961.18592596</v>
      </c>
      <c r="H67" s="467">
        <v>0.9</v>
      </c>
      <c r="I67" s="99">
        <f>G67*H67</f>
        <v>528789565.0673334</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64"/>
      <c r="BQ67" s="106"/>
      <c r="BR67" s="106"/>
      <c r="BS67" s="940" t="s">
        <v>1307</v>
      </c>
      <c r="BT67" s="930">
        <f>BT56*BU67</f>
        <v>9620194524.6383286</v>
      </c>
      <c r="BU67" s="931">
        <v>0.05</v>
      </c>
      <c r="BV67" s="898" t="s">
        <v>1323</v>
      </c>
      <c r="BW67" s="905"/>
      <c r="BX67" s="945">
        <v>100</v>
      </c>
      <c r="BY67" s="938">
        <f>BX66*BX67</f>
        <v>27200</v>
      </c>
      <c r="BZ67" s="1" t="s">
        <v>1316</v>
      </c>
    </row>
    <row r="68" spans="3:107"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64"/>
      <c r="BQ68" s="106"/>
      <c r="BR68" s="251"/>
      <c r="BS68" s="940" t="s">
        <v>1308</v>
      </c>
      <c r="BT68" s="930">
        <f>BT56*BU68</f>
        <v>5772116714.7829971</v>
      </c>
      <c r="BU68" s="931">
        <v>0.03</v>
      </c>
      <c r="BV68" s="898" t="s">
        <v>1438</v>
      </c>
      <c r="BW68" s="905"/>
      <c r="BX68" s="600"/>
      <c r="BY68" s="1">
        <v>1000</v>
      </c>
      <c r="BZ68" s="1" t="s">
        <v>226</v>
      </c>
    </row>
    <row r="69" spans="3:107" ht="16.2" thickBot="1" x14ac:dyDescent="0.35">
      <c r="C69" s="122"/>
      <c r="D69" s="7"/>
      <c r="E69" s="7"/>
      <c r="F69" s="438">
        <v>0.2</v>
      </c>
      <c r="G69" s="446">
        <f>E63*F69</f>
        <v>587543961.18592596</v>
      </c>
      <c r="H69" s="447">
        <v>0.25</v>
      </c>
      <c r="I69" s="446">
        <f>G69*H69</f>
        <v>146885990.29648149</v>
      </c>
      <c r="J69" s="447">
        <v>0</v>
      </c>
      <c r="K69" s="439">
        <f>I69*J69</f>
        <v>0</v>
      </c>
      <c r="Q69" s="240" t="s">
        <v>952</v>
      </c>
      <c r="S69" s="88"/>
      <c r="W69" s="691">
        <f>BW47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8"/>
      <c r="BQ69" s="88"/>
      <c r="BR69" s="88"/>
      <c r="BS69" s="940" t="s">
        <v>1317</v>
      </c>
      <c r="BT69" s="930">
        <f>BT56*BU69</f>
        <v>5772116714.7829971</v>
      </c>
      <c r="BU69" s="931">
        <v>0.03</v>
      </c>
      <c r="BV69" s="898" t="s">
        <v>1356</v>
      </c>
      <c r="BW69" s="905"/>
      <c r="BX69" s="601"/>
      <c r="BY69" s="1">
        <f>BY67*BY68</f>
        <v>27200000</v>
      </c>
      <c r="BZ69" s="1" t="s">
        <v>1320</v>
      </c>
    </row>
    <row r="70" spans="3:107"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8"/>
      <c r="BQ70" s="88"/>
      <c r="BR70" s="88"/>
      <c r="BS70" s="940" t="s">
        <v>1318</v>
      </c>
      <c r="BT70" s="930">
        <f>BT56*BU70</f>
        <v>5772116714.7829971</v>
      </c>
      <c r="BU70" s="931">
        <v>0.03</v>
      </c>
      <c r="BV70" s="898" t="s">
        <v>1357</v>
      </c>
      <c r="BW70" s="905"/>
      <c r="BX70" s="600"/>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55">
        <f>BU53</f>
        <v>1024</v>
      </c>
      <c r="U71" s="77" t="s">
        <v>804</v>
      </c>
      <c r="V71" s="947"/>
      <c r="W71" s="319">
        <v>0.3</v>
      </c>
      <c r="Y71" s="76" t="s">
        <v>893</v>
      </c>
      <c r="Z71" s="76"/>
      <c r="AA71" s="77" t="s">
        <v>1332</v>
      </c>
      <c r="AB71" s="88"/>
      <c r="AE71" s="958"/>
      <c r="AF71" s="644" t="s">
        <v>986</v>
      </c>
      <c r="AG71" s="958"/>
      <c r="BN71" s="88"/>
      <c r="BO71" s="88"/>
      <c r="BP71" s="958"/>
      <c r="BQ71" s="88"/>
      <c r="BR71" s="88"/>
      <c r="BS71" s="940" t="s">
        <v>1319</v>
      </c>
      <c r="BT71" s="930">
        <f>BT56*BU71</f>
        <v>5772116714.7829971</v>
      </c>
      <c r="BU71" s="931">
        <v>0.03</v>
      </c>
      <c r="BV71" s="898" t="s">
        <v>1358</v>
      </c>
      <c r="BW71" s="905"/>
      <c r="BX71" s="936"/>
    </row>
    <row r="72" spans="3:107" x14ac:dyDescent="0.3">
      <c r="C72" s="158"/>
      <c r="D72" s="10"/>
      <c r="E72" s="10"/>
      <c r="F72" s="10"/>
      <c r="G72" s="159">
        <f>SUM(G53:G71)</f>
        <v>17856793455.374367</v>
      </c>
      <c r="H72" s="160"/>
      <c r="I72" s="172">
        <f>SUM(I53:I71)</f>
        <v>15650888152.179388</v>
      </c>
      <c r="J72" s="158"/>
      <c r="K72" s="481">
        <f>SUM(K53:K71)</f>
        <v>0</v>
      </c>
      <c r="L72" s="482">
        <f>BT34</f>
        <v>11.908350384445418</v>
      </c>
      <c r="M72" s="480">
        <f>K72*L72</f>
        <v>0</v>
      </c>
      <c r="N72" s="239"/>
      <c r="O72" s="950">
        <f>BU53</f>
        <v>1024</v>
      </c>
      <c r="P72" s="239"/>
      <c r="Q72" s="480">
        <f>M72*O72</f>
        <v>0</v>
      </c>
      <c r="R72" s="239"/>
      <c r="S72" s="956">
        <f>M72*S71</f>
        <v>0</v>
      </c>
      <c r="T72" s="239"/>
      <c r="U72" s="910">
        <f>Q72+S72</f>
        <v>0</v>
      </c>
      <c r="V72" s="949" t="s">
        <v>1330</v>
      </c>
      <c r="W72" s="910">
        <f>W69*W71</f>
        <v>1989164570.4746923</v>
      </c>
      <c r="X72" s="949" t="s">
        <v>1330</v>
      </c>
      <c r="Y72" s="910">
        <f>BT59+BT60+BT61+BT62+BT63</f>
        <v>48100972623.191643</v>
      </c>
      <c r="Z72" s="949" t="s">
        <v>1331</v>
      </c>
      <c r="AA72" s="910">
        <f>U72+W72+Y72</f>
        <v>50090137193.666336</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181"/>
      <c r="BP72" s="958"/>
      <c r="BQ72" s="88"/>
      <c r="BR72" s="88"/>
      <c r="BS72" s="940" t="s">
        <v>1312</v>
      </c>
      <c r="BT72" s="930">
        <f>BT56*BU72</f>
        <v>5772116714.7829971</v>
      </c>
      <c r="BU72" s="931">
        <v>0.03</v>
      </c>
      <c r="BV72" s="898" t="s">
        <v>1359</v>
      </c>
      <c r="BW72" s="905"/>
      <c r="BX72" s="812"/>
    </row>
    <row r="73" spans="3:107"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BO73" s="88"/>
      <c r="BP73" s="88"/>
      <c r="BQ73" s="88"/>
      <c r="BR73" s="88"/>
      <c r="BS73" s="940" t="s">
        <v>1313</v>
      </c>
      <c r="BT73" s="930">
        <f>BT56*BU73</f>
        <v>9620194524.6383286</v>
      </c>
      <c r="BU73" s="931">
        <v>0.05</v>
      </c>
      <c r="BV73" s="898" t="s">
        <v>1361</v>
      </c>
      <c r="BW73" s="905"/>
      <c r="BX73" s="255"/>
    </row>
    <row r="74" spans="3:107"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BO74" s="88"/>
      <c r="BP74" s="252"/>
      <c r="BQ74" s="252"/>
      <c r="BR74" s="252"/>
      <c r="BS74" s="940" t="s">
        <v>1324</v>
      </c>
      <c r="BT74" s="930">
        <f>BT56*BU74</f>
        <v>19240389049.276657</v>
      </c>
      <c r="BU74" s="931">
        <v>0.1</v>
      </c>
      <c r="BV74" s="898" t="s">
        <v>1439</v>
      </c>
      <c r="BW74" s="905"/>
      <c r="BX74" s="255"/>
    </row>
    <row r="75" spans="3:107"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BO75" s="88"/>
      <c r="BP75" s="252"/>
      <c r="BQ75" s="88"/>
      <c r="BR75" s="88"/>
      <c r="BS75" s="940" t="s">
        <v>1306</v>
      </c>
      <c r="BT75" s="930">
        <f>BT56*BU75</f>
        <v>3848077809.8553314</v>
      </c>
      <c r="BU75" s="931">
        <v>0.02</v>
      </c>
      <c r="BV75" s="899" t="s">
        <v>1360</v>
      </c>
      <c r="BW75" s="932"/>
      <c r="BX75" s="255"/>
    </row>
    <row r="76" spans="3:107" x14ac:dyDescent="0.3">
      <c r="R76" s="88"/>
      <c r="S76" s="252"/>
      <c r="T76" s="88"/>
      <c r="U76" s="88"/>
      <c r="V76" s="88"/>
      <c r="W76" s="88"/>
      <c r="X76" s="88"/>
      <c r="Y76" s="88"/>
      <c r="Z76" s="361" t="s">
        <v>1347</v>
      </c>
      <c r="AA76" s="736">
        <f>AA72</f>
        <v>50090137193.666336</v>
      </c>
      <c r="AB76" s="88"/>
      <c r="AD76" s="960">
        <f t="shared" si="30"/>
        <v>2018</v>
      </c>
      <c r="AE76" s="691">
        <f t="shared" si="31"/>
        <v>5717501250</v>
      </c>
      <c r="AF76" s="963">
        <f t="shared" si="28"/>
        <v>2.5000000000000001E-2</v>
      </c>
      <c r="AG76" s="691">
        <f t="shared" si="29"/>
        <v>142937531.25</v>
      </c>
      <c r="BO76" s="88"/>
      <c r="BP76" s="252"/>
      <c r="BQ76" s="88"/>
      <c r="BR76" s="88"/>
      <c r="BS76" s="941" t="s">
        <v>1309</v>
      </c>
      <c r="BT76" s="930">
        <f>BT56*BU76</f>
        <v>3848077809.8553314</v>
      </c>
      <c r="BU76" s="931">
        <v>0.02</v>
      </c>
      <c r="BV76" s="899" t="s">
        <v>1440</v>
      </c>
      <c r="BW76" s="932"/>
      <c r="BX76" s="255"/>
    </row>
    <row r="77" spans="3:107"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BO77" s="88"/>
      <c r="BP77" s="88"/>
      <c r="BQ77" s="88"/>
      <c r="BR77" s="88"/>
      <c r="BS77" s="940" t="s">
        <v>1310</v>
      </c>
      <c r="BT77" s="904">
        <f>BT56*BU77</f>
        <v>9620194524.6383286</v>
      </c>
      <c r="BU77" s="1065">
        <v>0.05</v>
      </c>
      <c r="BV77" s="898" t="s">
        <v>1362</v>
      </c>
      <c r="BW77" s="905"/>
      <c r="BX77" s="255"/>
    </row>
    <row r="78" spans="3:107" x14ac:dyDescent="0.3">
      <c r="R78" s="88"/>
      <c r="S78" s="252"/>
      <c r="T78" s="88"/>
      <c r="U78" s="88"/>
      <c r="V78" s="88"/>
      <c r="W78" s="88"/>
      <c r="X78" s="88"/>
      <c r="Y78" s="88"/>
      <c r="Z78" s="555" t="s">
        <v>1333</v>
      </c>
      <c r="AA78" s="957">
        <f>AA72/W72</f>
        <v>25.181494752700562</v>
      </c>
      <c r="AB78" s="252"/>
      <c r="AD78" s="960">
        <f t="shared" ref="AD78:AD106" si="32">AD77+1</f>
        <v>2020</v>
      </c>
      <c r="AE78" s="691">
        <f t="shared" si="31"/>
        <v>6006949750.78125</v>
      </c>
      <c r="AF78" s="963">
        <f t="shared" si="28"/>
        <v>2.5000000000000001E-2</v>
      </c>
      <c r="AG78" s="691">
        <f t="shared" si="29"/>
        <v>150173743.76953125</v>
      </c>
      <c r="BO78" s="88"/>
      <c r="BP78" s="88"/>
      <c r="BQ78" s="88"/>
      <c r="BR78" s="88"/>
      <c r="BS78" s="940" t="s">
        <v>1452</v>
      </c>
      <c r="BT78" s="904">
        <f>BT56*BU78</f>
        <v>9620194524.6383286</v>
      </c>
      <c r="BU78" s="1065">
        <v>0.05</v>
      </c>
      <c r="BV78" s="898" t="s">
        <v>1450</v>
      </c>
      <c r="BW78" s="905"/>
      <c r="BX78" s="255"/>
    </row>
    <row r="79" spans="3:107"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BO79" s="88"/>
      <c r="BP79" s="88"/>
      <c r="BQ79" s="88"/>
      <c r="BR79" s="88"/>
      <c r="BS79" s="940" t="s">
        <v>1454</v>
      </c>
      <c r="BT79" s="904">
        <f>BT56*BU79</f>
        <v>9620194524.6383286</v>
      </c>
      <c r="BU79" s="1065">
        <v>0.05</v>
      </c>
      <c r="BV79" s="898" t="s">
        <v>1455</v>
      </c>
      <c r="BW79" s="905"/>
      <c r="BX79" s="255"/>
    </row>
    <row r="80" spans="3:107"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BO80" s="88"/>
      <c r="BP80" s="88"/>
      <c r="BQ80" s="88"/>
      <c r="BR80" s="88"/>
      <c r="BS80" s="940" t="s">
        <v>1326</v>
      </c>
      <c r="BT80" s="904">
        <f>BT56*BU80</f>
        <v>7696155619.7106628</v>
      </c>
      <c r="BU80" s="1065">
        <v>0.04</v>
      </c>
      <c r="BV80" s="898" t="s">
        <v>1348</v>
      </c>
      <c r="BW80" s="905"/>
      <c r="BX80" s="251"/>
    </row>
    <row r="81" spans="18:77"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BO81" s="88"/>
      <c r="BP81" s="88"/>
      <c r="BQ81" s="88"/>
      <c r="BR81" s="88"/>
      <c r="BS81" s="940" t="s">
        <v>1298</v>
      </c>
      <c r="BT81" s="930">
        <f>BT56*BU81</f>
        <v>7696155619.7106628</v>
      </c>
      <c r="BU81" s="931">
        <v>0.04</v>
      </c>
      <c r="BV81" s="898" t="s">
        <v>1363</v>
      </c>
      <c r="BW81" s="905"/>
      <c r="BX81" s="251"/>
    </row>
    <row r="82" spans="18:77"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BO82" s="88"/>
      <c r="BP82" s="88"/>
      <c r="BQ82" s="88"/>
      <c r="BR82" s="88"/>
      <c r="BS82" s="942"/>
      <c r="BT82" s="1067"/>
      <c r="BU82" s="1068">
        <f>SUM(BU58:BU81)</f>
        <v>1.0042920369188002</v>
      </c>
      <c r="BV82" s="1069"/>
      <c r="BW82" s="1070"/>
      <c r="BX82" s="251"/>
    </row>
    <row r="83" spans="18:77"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BO83" s="88"/>
      <c r="BP83" s="88"/>
      <c r="BQ83" s="88"/>
      <c r="BR83" s="88"/>
      <c r="BS83" s="941" t="s">
        <v>1321</v>
      </c>
      <c r="BT83" s="904">
        <f>BT56*BU83</f>
        <v>-825804601.31574523</v>
      </c>
      <c r="BU83" s="1065">
        <f>100%-BU82</f>
        <v>-4.2920369188002017E-3</v>
      </c>
      <c r="BV83" s="898" t="s">
        <v>148</v>
      </c>
      <c r="BW83" s="905"/>
      <c r="BX83" s="251"/>
    </row>
    <row r="84" spans="18:77"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BO84" s="88"/>
      <c r="BP84" s="88"/>
      <c r="BQ84" s="88"/>
      <c r="BR84" s="88"/>
      <c r="BS84" s="943" t="s">
        <v>1322</v>
      </c>
      <c r="BT84" s="1071">
        <f>SUM(BT58:BT83)</f>
        <v>192403890492.76657</v>
      </c>
      <c r="BU84" s="1072">
        <f>BU82+BU83</f>
        <v>1</v>
      </c>
      <c r="BV84" s="1073" t="s">
        <v>59</v>
      </c>
      <c r="BW84" s="1074"/>
      <c r="BX84" s="251"/>
    </row>
    <row r="85" spans="18:77" x14ac:dyDescent="0.3">
      <c r="R85" s="88"/>
      <c r="S85" s="88"/>
      <c r="T85" s="88"/>
      <c r="U85" s="88"/>
      <c r="V85" s="88"/>
      <c r="AD85" s="960">
        <f t="shared" si="32"/>
        <v>2027</v>
      </c>
      <c r="AE85" s="691">
        <f t="shared" si="31"/>
        <v>7140375591.7544937</v>
      </c>
      <c r="AF85" s="963">
        <f t="shared" si="28"/>
        <v>2.5000000000000001E-2</v>
      </c>
      <c r="AG85" s="691">
        <f t="shared" si="29"/>
        <v>178509389.79386234</v>
      </c>
      <c r="BO85" s="88"/>
      <c r="BP85" s="88"/>
      <c r="BQ85" s="88"/>
      <c r="BR85" s="88"/>
      <c r="BS85" s="943" t="s">
        <v>1329</v>
      </c>
      <c r="BT85" s="179">
        <f>BT59+BT60+BT61+BT62+BT63</f>
        <v>48100972623.191643</v>
      </c>
      <c r="BU85" s="160"/>
      <c r="BV85" s="160" t="s">
        <v>1364</v>
      </c>
      <c r="BW85" s="303"/>
      <c r="BX85" s="251"/>
    </row>
    <row r="86" spans="18:77" x14ac:dyDescent="0.3">
      <c r="AD86" s="960">
        <f t="shared" si="32"/>
        <v>2028</v>
      </c>
      <c r="AE86" s="691">
        <f t="shared" si="31"/>
        <v>7318884981.5483561</v>
      </c>
      <c r="AF86" s="963">
        <f t="shared" si="28"/>
        <v>2.5000000000000001E-2</v>
      </c>
      <c r="AG86" s="691">
        <f t="shared" si="29"/>
        <v>182972124.53870893</v>
      </c>
      <c r="BO86" s="88"/>
      <c r="BP86" s="88"/>
      <c r="BQ86" s="88"/>
      <c r="BR86" s="88"/>
      <c r="BS86" s="364"/>
      <c r="BT86" s="1075"/>
      <c r="BU86" s="1076"/>
      <c r="BV86" s="1076"/>
      <c r="BW86" s="1077"/>
      <c r="BX86" s="251"/>
    </row>
    <row r="87" spans="18:77" x14ac:dyDescent="0.3">
      <c r="AD87" s="960">
        <f t="shared" si="32"/>
        <v>2029</v>
      </c>
      <c r="AE87" s="691">
        <f t="shared" si="31"/>
        <v>7501857106.0870647</v>
      </c>
      <c r="AF87" s="963">
        <f t="shared" si="28"/>
        <v>2.5000000000000001E-2</v>
      </c>
      <c r="AG87" s="691">
        <f t="shared" si="29"/>
        <v>187546427.65217662</v>
      </c>
      <c r="BO87" s="88"/>
      <c r="BP87" s="88"/>
      <c r="BQ87" s="88"/>
      <c r="BR87" s="88"/>
      <c r="BS87" s="1007" t="s">
        <v>1336</v>
      </c>
      <c r="BT87" s="1066">
        <f>AA72</f>
        <v>50090137193.666336</v>
      </c>
      <c r="BU87" s="251" t="s">
        <v>1335</v>
      </c>
      <c r="BV87" s="251"/>
      <c r="BW87" s="251"/>
      <c r="BX87" s="251"/>
    </row>
    <row r="88" spans="18:77" x14ac:dyDescent="0.3">
      <c r="AD88" s="960">
        <f t="shared" si="32"/>
        <v>2030</v>
      </c>
      <c r="AE88" s="691">
        <f t="shared" si="31"/>
        <v>7689403533.7392416</v>
      </c>
      <c r="AF88" s="963">
        <f t="shared" si="28"/>
        <v>2.5000000000000001E-2</v>
      </c>
      <c r="AG88" s="691">
        <f t="shared" si="29"/>
        <v>192235088.34348106</v>
      </c>
      <c r="BO88" s="88"/>
      <c r="BP88" s="88"/>
      <c r="BQ88" s="88"/>
      <c r="BR88" s="88"/>
      <c r="BS88" s="1008" t="s">
        <v>1337</v>
      </c>
      <c r="BT88" s="1009">
        <f>W72</f>
        <v>1989164570.4746923</v>
      </c>
      <c r="BU88" s="898" t="s">
        <v>1338</v>
      </c>
      <c r="BV88" s="898"/>
      <c r="BW88" s="251"/>
      <c r="BX88" s="251"/>
    </row>
    <row r="89" spans="18:77" x14ac:dyDescent="0.3">
      <c r="AD89" s="960">
        <f t="shared" si="32"/>
        <v>2031</v>
      </c>
      <c r="AE89" s="691">
        <f t="shared" si="31"/>
        <v>7881638622.0827227</v>
      </c>
      <c r="AF89" s="963">
        <f t="shared" si="28"/>
        <v>2.5000000000000001E-2</v>
      </c>
      <c r="AG89" s="691">
        <f t="shared" si="29"/>
        <v>197040965.55206808</v>
      </c>
      <c r="BO89" s="88"/>
      <c r="BP89" s="88"/>
      <c r="BQ89" s="88"/>
      <c r="BR89" s="88"/>
      <c r="BS89" s="106"/>
      <c r="BT89" s="745"/>
      <c r="BU89" s="251"/>
      <c r="BV89" s="251"/>
      <c r="BW89" s="251"/>
      <c r="BX89" s="251"/>
      <c r="BY89" s="252"/>
    </row>
    <row r="90" spans="18:77" x14ac:dyDescent="0.3">
      <c r="AD90" s="960">
        <f t="shared" si="32"/>
        <v>2032</v>
      </c>
      <c r="AE90" s="691">
        <f t="shared" si="31"/>
        <v>8078679587.6347904</v>
      </c>
      <c r="AF90" s="963">
        <f t="shared" si="28"/>
        <v>2.5000000000000001E-2</v>
      </c>
      <c r="AG90" s="691">
        <f t="shared" si="29"/>
        <v>201966989.69086978</v>
      </c>
      <c r="BO90" s="88"/>
      <c r="BP90" s="88"/>
      <c r="BQ90" s="88"/>
      <c r="BR90" s="88"/>
      <c r="BT90" s="999" t="s">
        <v>1355</v>
      </c>
      <c r="BU90" s="252"/>
      <c r="BV90" s="252"/>
      <c r="BW90" s="252"/>
      <c r="BX90" s="252"/>
      <c r="BY90" s="252"/>
    </row>
    <row r="91" spans="18:77" x14ac:dyDescent="0.3">
      <c r="AD91" s="960">
        <f t="shared" si="32"/>
        <v>2033</v>
      </c>
      <c r="AE91" s="691">
        <f t="shared" si="31"/>
        <v>8280646577.3256598</v>
      </c>
      <c r="AF91" s="963">
        <f t="shared" si="28"/>
        <v>2.5000000000000001E-2</v>
      </c>
      <c r="AG91" s="691">
        <f t="shared" si="29"/>
        <v>207016164.4331415</v>
      </c>
      <c r="BO91" s="88"/>
      <c r="BP91" s="88"/>
      <c r="BQ91" s="88"/>
      <c r="BR91" s="88"/>
      <c r="BU91" s="252"/>
      <c r="BV91" s="252"/>
      <c r="BW91" s="252"/>
      <c r="BX91" s="252"/>
      <c r="BY91" s="252"/>
    </row>
    <row r="92" spans="18:77" x14ac:dyDescent="0.3">
      <c r="AD92" s="960">
        <f t="shared" si="32"/>
        <v>2034</v>
      </c>
      <c r="AE92" s="691">
        <f t="shared" si="31"/>
        <v>8487662741.7588015</v>
      </c>
      <c r="AF92" s="963">
        <f t="shared" si="28"/>
        <v>2.5000000000000001E-2</v>
      </c>
      <c r="AG92" s="691">
        <f t="shared" si="29"/>
        <v>212191568.54397005</v>
      </c>
      <c r="BO92" s="88"/>
      <c r="BP92" s="88"/>
      <c r="BQ92" s="88"/>
      <c r="BR92" s="252"/>
      <c r="BU92" s="252"/>
      <c r="BV92" s="252"/>
      <c r="BW92" s="252"/>
      <c r="BX92" s="252"/>
      <c r="BY92" s="252"/>
    </row>
    <row r="93" spans="18:77" x14ac:dyDescent="0.3">
      <c r="AD93" s="960">
        <f t="shared" si="32"/>
        <v>2035</v>
      </c>
      <c r="AE93" s="691">
        <f t="shared" si="31"/>
        <v>8699854310.3027706</v>
      </c>
      <c r="AF93" s="963">
        <f t="shared" si="28"/>
        <v>2.5000000000000001E-2</v>
      </c>
      <c r="AG93" s="691">
        <f t="shared" si="29"/>
        <v>217496357.75756928</v>
      </c>
      <c r="BU93" s="252"/>
      <c r="BV93" s="252"/>
      <c r="BW93" s="252"/>
      <c r="BX93" s="252"/>
      <c r="BY93" s="252"/>
    </row>
    <row r="94" spans="18:77" x14ac:dyDescent="0.3">
      <c r="AD94" s="960">
        <f t="shared" si="32"/>
        <v>2036</v>
      </c>
      <c r="AE94" s="691">
        <f t="shared" si="31"/>
        <v>8917350668.060339</v>
      </c>
      <c r="AF94" s="963">
        <f t="shared" si="28"/>
        <v>2.5000000000000001E-2</v>
      </c>
      <c r="AG94" s="691">
        <f t="shared" si="29"/>
        <v>222933766.70150849</v>
      </c>
      <c r="BU94" s="252"/>
      <c r="BV94" s="252"/>
      <c r="BW94" s="252"/>
      <c r="BX94" s="252"/>
      <c r="BY94" s="252"/>
    </row>
    <row r="95" spans="18:77" x14ac:dyDescent="0.3">
      <c r="AD95" s="960">
        <f t="shared" si="32"/>
        <v>2037</v>
      </c>
      <c r="AE95" s="691">
        <f t="shared" si="31"/>
        <v>9140284434.7618465</v>
      </c>
      <c r="AF95" s="963">
        <f t="shared" si="28"/>
        <v>2.5000000000000001E-2</v>
      </c>
      <c r="AG95" s="691">
        <f t="shared" si="29"/>
        <v>228507110.86904618</v>
      </c>
      <c r="BU95" s="252"/>
      <c r="BV95" s="252"/>
      <c r="BW95" s="252"/>
      <c r="BX95" s="252"/>
      <c r="BY95" s="252"/>
    </row>
    <row r="96" spans="18:77" x14ac:dyDescent="0.3">
      <c r="AD96" s="960">
        <f t="shared" si="32"/>
        <v>2038</v>
      </c>
      <c r="AE96" s="691">
        <f t="shared" si="31"/>
        <v>9368791545.6308918</v>
      </c>
      <c r="AF96" s="963">
        <f t="shared" si="28"/>
        <v>2.5000000000000001E-2</v>
      </c>
      <c r="AG96" s="691">
        <f t="shared" si="29"/>
        <v>234219788.64077231</v>
      </c>
      <c r="BU96" s="252"/>
      <c r="BV96" s="252"/>
      <c r="BW96" s="252"/>
      <c r="BX96" s="252"/>
      <c r="BY96" s="252"/>
    </row>
    <row r="97" spans="30:77" x14ac:dyDescent="0.3">
      <c r="AD97" s="960">
        <f t="shared" si="32"/>
        <v>2039</v>
      </c>
      <c r="AE97" s="691">
        <f t="shared" si="31"/>
        <v>9603011334.2716637</v>
      </c>
      <c r="AF97" s="963">
        <f t="shared" si="28"/>
        <v>2.5000000000000001E-2</v>
      </c>
      <c r="AG97" s="691">
        <f t="shared" si="29"/>
        <v>240075283.35679162</v>
      </c>
      <c r="BU97" s="252"/>
      <c r="BV97" s="252"/>
      <c r="BW97" s="252"/>
      <c r="BX97" s="252"/>
      <c r="BY97" s="252"/>
    </row>
    <row r="98" spans="30:77" x14ac:dyDescent="0.3">
      <c r="AD98" s="960">
        <f t="shared" si="32"/>
        <v>2040</v>
      </c>
      <c r="AE98" s="691">
        <f t="shared" si="31"/>
        <v>9843086617.6284561</v>
      </c>
      <c r="AF98" s="963">
        <f t="shared" si="28"/>
        <v>2.5000000000000001E-2</v>
      </c>
      <c r="AG98" s="691">
        <f t="shared" si="29"/>
        <v>246077165.44071141</v>
      </c>
    </row>
    <row r="99" spans="30:77" x14ac:dyDescent="0.3">
      <c r="AD99" s="960">
        <f t="shared" si="32"/>
        <v>2041</v>
      </c>
      <c r="AE99" s="691">
        <f t="shared" si="31"/>
        <v>10089163783.069168</v>
      </c>
      <c r="AF99" s="963">
        <f t="shared" si="28"/>
        <v>2.5000000000000001E-2</v>
      </c>
      <c r="AG99" s="691">
        <f t="shared" si="29"/>
        <v>252229094.57672921</v>
      </c>
    </row>
    <row r="100" spans="30:77" x14ac:dyDescent="0.3">
      <c r="AD100" s="960">
        <f t="shared" si="32"/>
        <v>2042</v>
      </c>
      <c r="AE100" s="691">
        <f t="shared" si="31"/>
        <v>10341392877.645897</v>
      </c>
      <c r="AF100" s="963">
        <f t="shared" si="28"/>
        <v>2.5000000000000001E-2</v>
      </c>
      <c r="AG100" s="691">
        <f t="shared" si="29"/>
        <v>258534821.94114745</v>
      </c>
    </row>
    <row r="101" spans="30:77" x14ac:dyDescent="0.3">
      <c r="AD101" s="960">
        <f t="shared" si="32"/>
        <v>2043</v>
      </c>
      <c r="AE101" s="691">
        <f t="shared" si="31"/>
        <v>10599927699.587044</v>
      </c>
      <c r="AF101" s="963">
        <f t="shared" si="28"/>
        <v>2.5000000000000001E-2</v>
      </c>
      <c r="AG101" s="691">
        <f t="shared" si="29"/>
        <v>264998192.48967612</v>
      </c>
    </row>
    <row r="102" spans="30:77" x14ac:dyDescent="0.3">
      <c r="AD102" s="960">
        <f t="shared" si="32"/>
        <v>2044</v>
      </c>
      <c r="AE102" s="691">
        <f t="shared" si="31"/>
        <v>10864925892.076719</v>
      </c>
      <c r="AF102" s="963">
        <f t="shared" si="28"/>
        <v>2.5000000000000001E-2</v>
      </c>
      <c r="AG102" s="691">
        <f t="shared" si="29"/>
        <v>271623147.30191797</v>
      </c>
    </row>
    <row r="103" spans="30:77" x14ac:dyDescent="0.3">
      <c r="AD103" s="960">
        <f t="shared" si="32"/>
        <v>2045</v>
      </c>
      <c r="AE103" s="691">
        <f t="shared" si="31"/>
        <v>11136549039.378637</v>
      </c>
      <c r="AF103" s="963">
        <f t="shared" si="28"/>
        <v>2.5000000000000001E-2</v>
      </c>
      <c r="AG103" s="691">
        <f t="shared" si="29"/>
        <v>278413725.98446596</v>
      </c>
    </row>
    <row r="104" spans="30:77" x14ac:dyDescent="0.3">
      <c r="AD104" s="960">
        <f t="shared" si="32"/>
        <v>2046</v>
      </c>
      <c r="AE104" s="691">
        <f t="shared" si="31"/>
        <v>11414962765.363104</v>
      </c>
      <c r="AF104" s="963">
        <f t="shared" si="28"/>
        <v>2.5000000000000001E-2</v>
      </c>
      <c r="AG104" s="691">
        <f t="shared" si="29"/>
        <v>285374069.13407761</v>
      </c>
    </row>
    <row r="105" spans="30:77" x14ac:dyDescent="0.3">
      <c r="AD105" s="960">
        <f t="shared" si="32"/>
        <v>2047</v>
      </c>
      <c r="AE105" s="691">
        <f t="shared" si="31"/>
        <v>11700336834.497181</v>
      </c>
      <c r="AF105" s="963">
        <f t="shared" si="28"/>
        <v>2.5000000000000001E-2</v>
      </c>
      <c r="AG105" s="691">
        <f t="shared" si="29"/>
        <v>292508420.86242956</v>
      </c>
    </row>
    <row r="106" spans="30:77"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5376-84A7-4D0F-925D-43B0515EC024}">
  <dimension ref="A2:DE106"/>
  <sheetViews>
    <sheetView showGridLines="0" topLeftCell="BN57" workbookViewId="0">
      <selection activeCell="BW39" sqref="BT39:BW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1.886718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90"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CM2" s="916"/>
      <c r="CQ2" s="916"/>
      <c r="DB2" s="917"/>
      <c r="DC2" s="916"/>
    </row>
    <row r="3" spans="1:107" ht="25.95" customHeight="1" x14ac:dyDescent="0.5">
      <c r="C3" s="570" t="s">
        <v>1446</v>
      </c>
      <c r="F3" s="1081"/>
      <c r="G3" s="648"/>
      <c r="BT3" s="999" t="s">
        <v>1355</v>
      </c>
    </row>
    <row r="4" spans="1:107"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row>
    <row r="5" spans="1:107" ht="18.600000000000001" x14ac:dyDescent="0.45">
      <c r="C5" s="37" t="s">
        <v>972</v>
      </c>
      <c r="D5" s="619"/>
      <c r="E5" s="408">
        <f>E11</f>
        <v>9804231246.7753716</v>
      </c>
      <c r="F5" s="1082">
        <v>1</v>
      </c>
      <c r="G5" s="408">
        <f>E5*F5</f>
        <v>9804231246.7753716</v>
      </c>
      <c r="H5" s="409">
        <v>0.97</v>
      </c>
      <c r="I5" s="408">
        <f>G5*H5</f>
        <v>9510104309.3721104</v>
      </c>
      <c r="J5" s="409">
        <v>1</v>
      </c>
      <c r="K5" s="408">
        <f>I5*J5</f>
        <v>9510104309.3721104</v>
      </c>
      <c r="L5" s="409">
        <f>H5</f>
        <v>0.97</v>
      </c>
      <c r="M5" s="408">
        <f>K5*L5</f>
        <v>9224801180.0909462</v>
      </c>
      <c r="N5" s="409">
        <f>J5</f>
        <v>1</v>
      </c>
      <c r="O5" s="408">
        <f>M5*N5</f>
        <v>9224801180.0909462</v>
      </c>
      <c r="P5" s="409">
        <f>L5</f>
        <v>0.97</v>
      </c>
      <c r="Q5" s="408">
        <f>O5*P5</f>
        <v>8948057144.6882172</v>
      </c>
      <c r="R5" s="409">
        <f>N5</f>
        <v>1</v>
      </c>
      <c r="S5" s="408">
        <f>Q5*R5</f>
        <v>8948057144.6882172</v>
      </c>
      <c r="T5" s="409">
        <f>P5</f>
        <v>0.97</v>
      </c>
      <c r="U5" s="408">
        <f>S5*T5</f>
        <v>8679615430.3475704</v>
      </c>
      <c r="V5" s="409">
        <f>R5</f>
        <v>1</v>
      </c>
      <c r="W5" s="408">
        <f>U5*V5</f>
        <v>8679615430.3475704</v>
      </c>
      <c r="X5" s="409">
        <f>T5</f>
        <v>0.97</v>
      </c>
      <c r="Y5" s="408">
        <f>W5*X5</f>
        <v>8419226967.4371433</v>
      </c>
      <c r="Z5" s="409">
        <f>V5</f>
        <v>1</v>
      </c>
      <c r="AA5" s="408">
        <f>Y5*Z5</f>
        <v>8419226967.4371433</v>
      </c>
      <c r="AB5" s="409">
        <f>X5</f>
        <v>0.97</v>
      </c>
      <c r="AC5" s="408">
        <f>AA5*AB5</f>
        <v>8166650158.4140291</v>
      </c>
      <c r="AD5" s="409">
        <f>Z5</f>
        <v>1</v>
      </c>
      <c r="AE5" s="408">
        <f>AC5*AD5</f>
        <v>8166650158.4140291</v>
      </c>
      <c r="AF5" s="409">
        <f>AB5</f>
        <v>0.97</v>
      </c>
      <c r="AG5" s="408">
        <f>AE5*AF5</f>
        <v>7921650653.6616077</v>
      </c>
      <c r="AH5" s="409">
        <f>AD5</f>
        <v>1</v>
      </c>
      <c r="AI5" s="408">
        <f>AG5*AH5</f>
        <v>7921650653.6616077</v>
      </c>
      <c r="AJ5" s="409">
        <f>AF5</f>
        <v>0.97</v>
      </c>
      <c r="AK5" s="408">
        <f>AI5*AJ5</f>
        <v>7684001134.0517597</v>
      </c>
      <c r="AL5" s="409">
        <f>AH5</f>
        <v>1</v>
      </c>
      <c r="AM5" s="408">
        <f>AK5*AL5</f>
        <v>7684001134.0517597</v>
      </c>
      <c r="AN5" s="409">
        <f>AJ5</f>
        <v>0.97</v>
      </c>
      <c r="AO5" s="408">
        <f>AM5*AN5</f>
        <v>7453481100.0302067</v>
      </c>
      <c r="AP5" s="409">
        <f>AL5</f>
        <v>1</v>
      </c>
      <c r="AQ5" s="408">
        <f>AO5*AP5</f>
        <v>7453481100.0302067</v>
      </c>
      <c r="AR5" s="409">
        <f>AN5</f>
        <v>0.97</v>
      </c>
      <c r="AS5" s="408">
        <f>AQ5*AR5</f>
        <v>7229876667.0293007</v>
      </c>
      <c r="AT5" s="409">
        <f>AP5</f>
        <v>1</v>
      </c>
      <c r="AU5" s="408">
        <f>AS5*AT5</f>
        <v>7229876667.0293007</v>
      </c>
      <c r="AV5" s="409">
        <f>AR5</f>
        <v>0.97</v>
      </c>
      <c r="AW5" s="408">
        <f>AU5*AV5</f>
        <v>7012980367.0184212</v>
      </c>
      <c r="AX5" s="409">
        <f>AT5</f>
        <v>1</v>
      </c>
      <c r="AY5" s="408">
        <f>AW5*AX5</f>
        <v>7012980367.0184212</v>
      </c>
      <c r="AZ5" s="409">
        <f>AV5</f>
        <v>0.97</v>
      </c>
      <c r="BA5" s="408">
        <f>AY5*AZ5</f>
        <v>6802590956.0078688</v>
      </c>
      <c r="BB5" s="409">
        <f>AX5</f>
        <v>1</v>
      </c>
      <c r="BC5" s="408">
        <f>BA5*BB5</f>
        <v>6802590956.0078688</v>
      </c>
      <c r="BD5" s="409">
        <f>AR5</f>
        <v>0.97</v>
      </c>
      <c r="BE5" s="408">
        <f>BC5*BD5</f>
        <v>6598513227.3276329</v>
      </c>
      <c r="BF5" s="409">
        <f>AT5</f>
        <v>1</v>
      </c>
      <c r="BG5" s="408">
        <f>BE5*BF5</f>
        <v>6598513227.3276329</v>
      </c>
      <c r="BH5" s="409">
        <f>BD5</f>
        <v>0.97</v>
      </c>
      <c r="BI5" s="408">
        <f>BG5*BH5</f>
        <v>6400557830.5078039</v>
      </c>
      <c r="BJ5" s="409">
        <f>BF5</f>
        <v>1</v>
      </c>
      <c r="BK5" s="408">
        <f>BI5*BJ5</f>
        <v>6400557830.5078039</v>
      </c>
      <c r="BL5" s="409">
        <f>AB5</f>
        <v>0.97</v>
      </c>
      <c r="BM5" s="408">
        <f>BK5*BL5</f>
        <v>6208541095.5925694</v>
      </c>
      <c r="BN5" s="409">
        <f>AD5</f>
        <v>1</v>
      </c>
      <c r="BO5" s="408">
        <f>BM5*BN5</f>
        <v>6208541095.5925694</v>
      </c>
      <c r="BP5" s="409">
        <f>BL5</f>
        <v>0.97</v>
      </c>
      <c r="BQ5" s="408">
        <f>BO5*BP5</f>
        <v>6022284862.7247925</v>
      </c>
      <c r="BR5" s="409">
        <f>BN5</f>
        <v>1</v>
      </c>
      <c r="BS5" s="408">
        <f>BQ5*BR5</f>
        <v>6022284862.7247925</v>
      </c>
      <c r="BT5" s="719">
        <f>G5+I5+M5+Q5+U5+Y5+AC5+AG5+AK5+AO5+AS5+AW5+BA5+BE5+BI5+BM5+BQ5</f>
        <v>132087164331.07736</v>
      </c>
      <c r="BV5" s="621">
        <f>BP5</f>
        <v>0.97</v>
      </c>
      <c r="BW5" s="622">
        <f>BS5*BV5</f>
        <v>5841616316.8430481</v>
      </c>
      <c r="BX5" s="626"/>
      <c r="BY5" s="626"/>
      <c r="BZ5" s="627"/>
    </row>
    <row r="6" spans="1:107" x14ac:dyDescent="0.3">
      <c r="F6" s="1081"/>
      <c r="BT6" s="93"/>
      <c r="BZ6" s="628"/>
    </row>
    <row r="7" spans="1:107"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462" t="s">
        <v>749</v>
      </c>
      <c r="BM7" s="170" t="s">
        <v>1463</v>
      </c>
      <c r="BN7" s="175" t="s">
        <v>297</v>
      </c>
      <c r="BO7" s="170" t="s">
        <v>59</v>
      </c>
      <c r="BP7" s="301" t="s">
        <v>749</v>
      </c>
      <c r="BQ7" s="121" t="s">
        <v>1464</v>
      </c>
      <c r="BR7" s="173" t="s">
        <v>297</v>
      </c>
      <c r="BS7" s="121" t="s">
        <v>59</v>
      </c>
      <c r="BT7" s="121" t="s">
        <v>1457</v>
      </c>
      <c r="BV7" s="588" t="s">
        <v>1367</v>
      </c>
      <c r="BW7" s="121" t="s">
        <v>1372</v>
      </c>
      <c r="BZ7" s="628"/>
    </row>
    <row r="8" spans="1:107" x14ac:dyDescent="0.3">
      <c r="B8" s="584"/>
      <c r="C8" s="7"/>
      <c r="E8" s="875">
        <f>BT47</f>
        <v>19608462493.550743</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586" t="s">
        <v>1371</v>
      </c>
      <c r="BM8" s="470"/>
      <c r="BN8" s="471"/>
      <c r="BO8" s="470"/>
      <c r="BP8" s="587" t="s">
        <v>1371</v>
      </c>
      <c r="BQ8" s="303"/>
      <c r="BR8" s="179"/>
      <c r="BS8" s="303"/>
      <c r="BT8" s="126"/>
      <c r="BV8" s="589" t="s">
        <v>1371</v>
      </c>
      <c r="BW8" s="303"/>
      <c r="BZ8" s="628"/>
    </row>
    <row r="9" spans="1:107"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122"/>
      <c r="BQ9" s="459" t="s">
        <v>282</v>
      </c>
      <c r="BR9" s="122"/>
      <c r="BS9" s="8"/>
      <c r="BT9" s="126"/>
      <c r="BV9" s="122"/>
      <c r="BW9" s="459" t="s">
        <v>282</v>
      </c>
      <c r="BZ9" s="628"/>
    </row>
    <row r="10" spans="1:107" ht="16.2" thickBot="1" x14ac:dyDescent="0.35">
      <c r="B10" s="585"/>
      <c r="C10" s="1211"/>
      <c r="D10" s="630" t="s">
        <v>953</v>
      </c>
      <c r="E10" s="994">
        <f>BU53</f>
        <v>1024</v>
      </c>
      <c r="F10" s="1085">
        <v>0.25</v>
      </c>
      <c r="G10" s="130">
        <f>E14*F10</f>
        <v>272443404.29167747</v>
      </c>
      <c r="H10" s="460">
        <v>0.5</v>
      </c>
      <c r="I10" s="130">
        <f>G10*H10</f>
        <v>136221702.14583874</v>
      </c>
      <c r="J10" s="460">
        <v>1</v>
      </c>
      <c r="K10" s="458">
        <f>I10*J10</f>
        <v>136221702.14583874</v>
      </c>
      <c r="L10" s="129">
        <f>H10</f>
        <v>0.5</v>
      </c>
      <c r="M10" s="458">
        <f>K10*L10</f>
        <v>68110851.072919369</v>
      </c>
      <c r="N10" s="129">
        <f>J10</f>
        <v>1</v>
      </c>
      <c r="O10" s="458">
        <f>M10*N10</f>
        <v>68110851.072919369</v>
      </c>
      <c r="P10" s="129">
        <f>L10</f>
        <v>0.5</v>
      </c>
      <c r="Q10" s="458">
        <f>O10*P10</f>
        <v>34055425.536459684</v>
      </c>
      <c r="R10" s="129">
        <f>N10</f>
        <v>1</v>
      </c>
      <c r="S10" s="458">
        <f>Q10*R10</f>
        <v>34055425.536459684</v>
      </c>
      <c r="T10" s="129">
        <f>P10</f>
        <v>0.5</v>
      </c>
      <c r="U10" s="458">
        <f>S10*T10</f>
        <v>17027712.768229842</v>
      </c>
      <c r="V10" s="129">
        <f>R10</f>
        <v>1</v>
      </c>
      <c r="W10" s="458">
        <f>U10*V10</f>
        <v>17027712.768229842</v>
      </c>
      <c r="X10" s="129">
        <f>T10</f>
        <v>0.5</v>
      </c>
      <c r="Y10" s="458">
        <f>W10*X10</f>
        <v>8513856.3841149211</v>
      </c>
      <c r="Z10" s="129">
        <f>V10</f>
        <v>1</v>
      </c>
      <c r="AA10" s="458">
        <f>Y10*Z10</f>
        <v>8513856.3841149211</v>
      </c>
      <c r="AB10" s="129">
        <f>X10</f>
        <v>0.5</v>
      </c>
      <c r="AC10" s="458">
        <f>AA10*AB10</f>
        <v>4256928.1920574605</v>
      </c>
      <c r="AD10" s="129">
        <f>Z10</f>
        <v>1</v>
      </c>
      <c r="AE10" s="458">
        <f>AC10*AD10</f>
        <v>4256928.1920574605</v>
      </c>
      <c r="AF10" s="129">
        <f>AB10</f>
        <v>0.5</v>
      </c>
      <c r="AG10" s="458">
        <f>AE10*AF10</f>
        <v>2128464.0960287303</v>
      </c>
      <c r="AH10" s="129">
        <f>AD10</f>
        <v>1</v>
      </c>
      <c r="AI10" s="458">
        <f>AG10*AH10</f>
        <v>2128464.0960287303</v>
      </c>
      <c r="AJ10" s="129">
        <f>AF10</f>
        <v>0.5</v>
      </c>
      <c r="AK10" s="458">
        <f>AI10*AJ10</f>
        <v>1064232.0480143651</v>
      </c>
      <c r="AL10" s="129">
        <f>AH10</f>
        <v>1</v>
      </c>
      <c r="AM10" s="458">
        <f>AK10*AL10</f>
        <v>1064232.0480143651</v>
      </c>
      <c r="AN10" s="129">
        <f>AJ10</f>
        <v>0.5</v>
      </c>
      <c r="AO10" s="458">
        <f>AM10*AN10</f>
        <v>532116.02400718257</v>
      </c>
      <c r="AP10" s="129">
        <f>AL10</f>
        <v>1</v>
      </c>
      <c r="AQ10" s="458">
        <f>AO10*AP10</f>
        <v>532116.02400718257</v>
      </c>
      <c r="AR10" s="129">
        <f>AN10</f>
        <v>0.5</v>
      </c>
      <c r="AS10" s="458">
        <f>AQ10*AR10</f>
        <v>266058.01200359128</v>
      </c>
      <c r="AT10" s="129">
        <f>AP10</f>
        <v>1</v>
      </c>
      <c r="AU10" s="458">
        <f>AS10*AT10</f>
        <v>266058.01200359128</v>
      </c>
      <c r="AV10" s="129">
        <f>AR10</f>
        <v>0.5</v>
      </c>
      <c r="AW10" s="458">
        <f>AU10*AV10</f>
        <v>133029.00600179564</v>
      </c>
      <c r="AX10" s="129">
        <f>AT10</f>
        <v>1</v>
      </c>
      <c r="AY10" s="458">
        <f>AW10*AX10</f>
        <v>133029.00600179564</v>
      </c>
      <c r="AZ10" s="129">
        <f>AV10</f>
        <v>0.5</v>
      </c>
      <c r="BA10" s="458">
        <f>AY10*AZ10</f>
        <v>66514.503000897821</v>
      </c>
      <c r="BB10" s="129">
        <f>AX10</f>
        <v>1</v>
      </c>
      <c r="BC10" s="458">
        <f>BA10*BB10</f>
        <v>66514.503000897821</v>
      </c>
      <c r="BD10" s="129">
        <f>AR10</f>
        <v>0.5</v>
      </c>
      <c r="BE10" s="458">
        <f>BC10*BD10</f>
        <v>33257.251500448911</v>
      </c>
      <c r="BF10" s="129">
        <f>AT10</f>
        <v>1</v>
      </c>
      <c r="BG10" s="458">
        <f>BE10*BF10</f>
        <v>33257.251500448911</v>
      </c>
      <c r="BH10" s="129">
        <f>BD10</f>
        <v>0.5</v>
      </c>
      <c r="BI10" s="458">
        <f>BG10*BH10</f>
        <v>16628.625750224455</v>
      </c>
      <c r="BJ10" s="129">
        <f>BF10</f>
        <v>1</v>
      </c>
      <c r="BK10" s="458">
        <f>BI10*BJ10</f>
        <v>16628.625750224455</v>
      </c>
      <c r="BL10" s="129">
        <f>AB10</f>
        <v>0.5</v>
      </c>
      <c r="BM10" s="458">
        <f>BK10*BL10</f>
        <v>8314.3128751122276</v>
      </c>
      <c r="BN10" s="129">
        <f>AD10</f>
        <v>1</v>
      </c>
      <c r="BO10" s="458">
        <f>BM10*BN10</f>
        <v>8314.3128751122276</v>
      </c>
      <c r="BP10" s="129">
        <f>BL10</f>
        <v>0.5</v>
      </c>
      <c r="BQ10" s="458">
        <f>BO10*BP10</f>
        <v>4157.1564375561138</v>
      </c>
      <c r="BR10" s="129">
        <f>BN10</f>
        <v>1</v>
      </c>
      <c r="BS10" s="458">
        <f>BQ10*BR10</f>
        <v>4157.1564375561138</v>
      </c>
      <c r="BT10" s="719">
        <f>G10+I10+M10+Q10+U10+Y10+AC10+AG10+AK10+AO10+AS10+AW10+BA10+BE10+BI10+BM10+BQ10</f>
        <v>544882651.42691731</v>
      </c>
      <c r="BV10" s="590">
        <f>BP10</f>
        <v>0.5</v>
      </c>
      <c r="BW10" s="458">
        <f>BS10*BV10</f>
        <v>2078.5782187780569</v>
      </c>
      <c r="BX10" s="623"/>
      <c r="BY10" s="624"/>
      <c r="BZ10" s="628"/>
    </row>
    <row r="11" spans="1:107" ht="16.2" thickBot="1" x14ac:dyDescent="0.35">
      <c r="B11" s="585"/>
      <c r="C11" s="1078"/>
      <c r="D11" s="630" t="s">
        <v>1291</v>
      </c>
      <c r="E11" s="631">
        <f>E8/2</f>
        <v>9804231246.7753716</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122"/>
      <c r="BQ11" s="457" t="s">
        <v>283</v>
      </c>
      <c r="BR11" s="122"/>
      <c r="BS11" s="8"/>
      <c r="BT11" s="126"/>
      <c r="BV11" s="122"/>
      <c r="BW11" s="457" t="s">
        <v>283</v>
      </c>
      <c r="BX11" s="623"/>
      <c r="BY11" s="623"/>
      <c r="BZ11" s="628"/>
    </row>
    <row r="12" spans="1:107" ht="16.2" thickBot="1" x14ac:dyDescent="0.35">
      <c r="B12" s="584"/>
      <c r="E12" s="997">
        <f>E9*E10</f>
        <v>0</v>
      </c>
      <c r="F12" s="1086">
        <v>0.25</v>
      </c>
      <c r="G12" s="135">
        <f>E14*F12</f>
        <v>272443404.29167747</v>
      </c>
      <c r="H12" s="461">
        <v>0.97</v>
      </c>
      <c r="I12" s="135">
        <f>G12*H12</f>
        <v>264270102.16292715</v>
      </c>
      <c r="J12" s="461">
        <v>1</v>
      </c>
      <c r="K12" s="440">
        <f>I12*J12</f>
        <v>264270102.16292715</v>
      </c>
      <c r="L12" s="133">
        <f>H12</f>
        <v>0.97</v>
      </c>
      <c r="M12" s="440">
        <f>K12*L12</f>
        <v>256341999.09803933</v>
      </c>
      <c r="N12" s="133">
        <f>J12</f>
        <v>1</v>
      </c>
      <c r="O12" s="440">
        <f>M12*N12</f>
        <v>256341999.09803933</v>
      </c>
      <c r="P12" s="133">
        <f>L12</f>
        <v>0.97</v>
      </c>
      <c r="Q12" s="440">
        <f>O12*P12</f>
        <v>248651739.12509814</v>
      </c>
      <c r="R12" s="133">
        <f>N12</f>
        <v>1</v>
      </c>
      <c r="S12" s="440">
        <f>Q12*R12</f>
        <v>248651739.12509814</v>
      </c>
      <c r="T12" s="133">
        <f>P12</f>
        <v>0.97</v>
      </c>
      <c r="U12" s="440">
        <f>S12*T12</f>
        <v>241192186.95134518</v>
      </c>
      <c r="V12" s="133">
        <f>R12</f>
        <v>1</v>
      </c>
      <c r="W12" s="440">
        <f>U12*V12</f>
        <v>241192186.95134518</v>
      </c>
      <c r="X12" s="133">
        <f>T12</f>
        <v>0.97</v>
      </c>
      <c r="Y12" s="440">
        <f>W12*X12</f>
        <v>233956421.34280482</v>
      </c>
      <c r="Z12" s="133">
        <f>V12</f>
        <v>1</v>
      </c>
      <c r="AA12" s="440">
        <f>Y12*Z12</f>
        <v>233956421.34280482</v>
      </c>
      <c r="AB12" s="133">
        <f>X12</f>
        <v>0.97</v>
      </c>
      <c r="AC12" s="440">
        <f>AA12*AB12</f>
        <v>226937728.70252067</v>
      </c>
      <c r="AD12" s="133">
        <f>Z12</f>
        <v>1</v>
      </c>
      <c r="AE12" s="440">
        <f>AC12*AD12</f>
        <v>226937728.70252067</v>
      </c>
      <c r="AF12" s="133">
        <f>AB12</f>
        <v>0.97</v>
      </c>
      <c r="AG12" s="440">
        <f>AE12*AF12</f>
        <v>220129596.84144503</v>
      </c>
      <c r="AH12" s="133">
        <f>AD12</f>
        <v>1</v>
      </c>
      <c r="AI12" s="440">
        <f>AG12*AH12</f>
        <v>220129596.84144503</v>
      </c>
      <c r="AJ12" s="133">
        <f>AF12</f>
        <v>0.97</v>
      </c>
      <c r="AK12" s="440">
        <f>AI12*AJ12</f>
        <v>213525708.93620166</v>
      </c>
      <c r="AL12" s="133">
        <f>AH12</f>
        <v>1</v>
      </c>
      <c r="AM12" s="440">
        <f>AK12*AL12</f>
        <v>213525708.93620166</v>
      </c>
      <c r="AN12" s="133">
        <f>AJ12</f>
        <v>0.97</v>
      </c>
      <c r="AO12" s="440">
        <f>AM12*AN12</f>
        <v>207119937.66811562</v>
      </c>
      <c r="AP12" s="133">
        <f>AL12</f>
        <v>1</v>
      </c>
      <c r="AQ12" s="440">
        <f>AO12*AP12</f>
        <v>207119937.66811562</v>
      </c>
      <c r="AR12" s="133">
        <f>AN12</f>
        <v>0.97</v>
      </c>
      <c r="AS12" s="440">
        <f>AQ12*AR12</f>
        <v>200906339.53807214</v>
      </c>
      <c r="AT12" s="133">
        <f>AP12</f>
        <v>1</v>
      </c>
      <c r="AU12" s="440">
        <f>AS12*AT12</f>
        <v>200906339.53807214</v>
      </c>
      <c r="AV12" s="133">
        <f>AR12</f>
        <v>0.97</v>
      </c>
      <c r="AW12" s="440">
        <f>AU12*AV12</f>
        <v>194879149.35192996</v>
      </c>
      <c r="AX12" s="133">
        <f>AT12</f>
        <v>1</v>
      </c>
      <c r="AY12" s="440">
        <f>AW12*AX12</f>
        <v>194879149.35192996</v>
      </c>
      <c r="AZ12" s="133">
        <f>AV12</f>
        <v>0.97</v>
      </c>
      <c r="BA12" s="440">
        <f>AY12*AZ12</f>
        <v>189032774.87137204</v>
      </c>
      <c r="BB12" s="133">
        <f>AX12</f>
        <v>1</v>
      </c>
      <c r="BC12" s="440">
        <f>BA12*BB12</f>
        <v>189032774.87137204</v>
      </c>
      <c r="BD12" s="133">
        <f>AR12</f>
        <v>0.97</v>
      </c>
      <c r="BE12" s="440">
        <f>BC12*BD12</f>
        <v>183361791.62523088</v>
      </c>
      <c r="BF12" s="133">
        <f>AT12</f>
        <v>1</v>
      </c>
      <c r="BG12" s="440">
        <f>BE12*BF12</f>
        <v>183361791.62523088</v>
      </c>
      <c r="BH12" s="133">
        <f>BD12</f>
        <v>0.97</v>
      </c>
      <c r="BI12" s="440">
        <f>BG12*BH12</f>
        <v>177860937.87647393</v>
      </c>
      <c r="BJ12" s="133">
        <f>BF12</f>
        <v>1</v>
      </c>
      <c r="BK12" s="440">
        <f>BI12*BJ12</f>
        <v>177860937.87647393</v>
      </c>
      <c r="BL12" s="133">
        <f>AB12</f>
        <v>0.97</v>
      </c>
      <c r="BM12" s="440">
        <f>BK12*BL12</f>
        <v>172525109.74017972</v>
      </c>
      <c r="BN12" s="133">
        <f>AD12</f>
        <v>1</v>
      </c>
      <c r="BO12" s="440">
        <f>BM12*BN12</f>
        <v>172525109.74017972</v>
      </c>
      <c r="BP12" s="133">
        <f>BL12</f>
        <v>0.97</v>
      </c>
      <c r="BQ12" s="440">
        <f>BO12*BP12</f>
        <v>167349356.44797432</v>
      </c>
      <c r="BR12" s="133">
        <f>BN12</f>
        <v>1</v>
      </c>
      <c r="BS12" s="440">
        <f>BQ12*BR12</f>
        <v>167349356.44797432</v>
      </c>
      <c r="BT12" s="719">
        <f>G12+I12+M12+Q12+U12+Y12+AC12+AG12+AK12+AO12+AS12+AW12+BA12+BE12+BI12+BM12+BQ12</f>
        <v>3670484284.5714078</v>
      </c>
      <c r="BV12" s="591">
        <f>BP12</f>
        <v>0.97</v>
      </c>
      <c r="BW12" s="440">
        <f>BS12*BV12</f>
        <v>162328875.75453508</v>
      </c>
      <c r="BX12" s="623"/>
      <c r="BY12" s="624"/>
      <c r="BZ12" s="628"/>
    </row>
    <row r="13" spans="1:107"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122"/>
      <c r="BQ13" s="451" t="s">
        <v>284</v>
      </c>
      <c r="BR13" s="122"/>
      <c r="BS13" s="8"/>
      <c r="BT13" s="126"/>
      <c r="BV13" s="122"/>
      <c r="BW13" s="451" t="s">
        <v>284</v>
      </c>
      <c r="BX13" s="623"/>
      <c r="BY13" s="623"/>
      <c r="BZ13" s="628"/>
    </row>
    <row r="14" spans="1:107" ht="16.2" thickBot="1" x14ac:dyDescent="0.35">
      <c r="A14" s="162"/>
      <c r="B14" s="162"/>
      <c r="C14" s="137" t="s">
        <v>291</v>
      </c>
      <c r="D14" s="1212">
        <v>0.111153397929607</v>
      </c>
      <c r="E14" s="139">
        <f>E11*D14</f>
        <v>1089773617.1667099</v>
      </c>
      <c r="F14" s="1088">
        <v>0.5</v>
      </c>
      <c r="G14" s="139">
        <f>E14*F14</f>
        <v>544886808.58335495</v>
      </c>
      <c r="H14" s="463">
        <v>0.97</v>
      </c>
      <c r="I14" s="139">
        <f>G14*H14</f>
        <v>528540204.3258543</v>
      </c>
      <c r="J14" s="463">
        <v>1</v>
      </c>
      <c r="K14" s="441">
        <f>I14*J14</f>
        <v>528540204.3258543</v>
      </c>
      <c r="L14" s="140">
        <f>H14</f>
        <v>0.97</v>
      </c>
      <c r="M14" s="441">
        <f>K14*L14</f>
        <v>512683998.19607866</v>
      </c>
      <c r="N14" s="140">
        <f>J14</f>
        <v>1</v>
      </c>
      <c r="O14" s="441">
        <f>M14*N14</f>
        <v>512683998.19607866</v>
      </c>
      <c r="P14" s="140">
        <f>L14</f>
        <v>0.97</v>
      </c>
      <c r="Q14" s="441">
        <f>O14*P14</f>
        <v>497303478.25019628</v>
      </c>
      <c r="R14" s="140">
        <f>N14</f>
        <v>1</v>
      </c>
      <c r="S14" s="441">
        <f>Q14*R14</f>
        <v>497303478.25019628</v>
      </c>
      <c r="T14" s="140">
        <f>P14</f>
        <v>0.97</v>
      </c>
      <c r="U14" s="441">
        <f>S14*T14</f>
        <v>482384373.90269035</v>
      </c>
      <c r="V14" s="140">
        <f>R14</f>
        <v>1</v>
      </c>
      <c r="W14" s="441">
        <f>U14*V14</f>
        <v>482384373.90269035</v>
      </c>
      <c r="X14" s="140">
        <f>T14</f>
        <v>0.97</v>
      </c>
      <c r="Y14" s="441">
        <f>W14*X14</f>
        <v>467912842.68560964</v>
      </c>
      <c r="Z14" s="140">
        <f>V14</f>
        <v>1</v>
      </c>
      <c r="AA14" s="441">
        <f>Y14*Z14</f>
        <v>467912842.68560964</v>
      </c>
      <c r="AB14" s="140">
        <f>X14</f>
        <v>0.97</v>
      </c>
      <c r="AC14" s="441">
        <f>AA14*AB14</f>
        <v>453875457.40504134</v>
      </c>
      <c r="AD14" s="140">
        <f>Z14</f>
        <v>1</v>
      </c>
      <c r="AE14" s="441">
        <f>AC14*AD14</f>
        <v>453875457.40504134</v>
      </c>
      <c r="AF14" s="140">
        <f>AB14</f>
        <v>0.97</v>
      </c>
      <c r="AG14" s="441">
        <f>AE14*AF14</f>
        <v>440259193.68289006</v>
      </c>
      <c r="AH14" s="140">
        <f>AD14</f>
        <v>1</v>
      </c>
      <c r="AI14" s="441">
        <f>AG14*AH14</f>
        <v>440259193.68289006</v>
      </c>
      <c r="AJ14" s="140">
        <f>AF14</f>
        <v>0.97</v>
      </c>
      <c r="AK14" s="441">
        <f>AI14*AJ14</f>
        <v>427051417.87240332</v>
      </c>
      <c r="AL14" s="140">
        <f>AH14</f>
        <v>1</v>
      </c>
      <c r="AM14" s="441">
        <f>AK14*AL14</f>
        <v>427051417.87240332</v>
      </c>
      <c r="AN14" s="140">
        <f>AJ14</f>
        <v>0.97</v>
      </c>
      <c r="AO14" s="441">
        <f>AM14*AN14</f>
        <v>414239875.33623123</v>
      </c>
      <c r="AP14" s="140">
        <f>AL14</f>
        <v>1</v>
      </c>
      <c r="AQ14" s="441">
        <f>AO14*AP14</f>
        <v>414239875.33623123</v>
      </c>
      <c r="AR14" s="140">
        <f>AN14</f>
        <v>0.97</v>
      </c>
      <c r="AS14" s="441">
        <f>AQ14*AR14</f>
        <v>401812679.07614428</v>
      </c>
      <c r="AT14" s="140">
        <f>AP14</f>
        <v>1</v>
      </c>
      <c r="AU14" s="441">
        <f>AS14*AT14</f>
        <v>401812679.07614428</v>
      </c>
      <c r="AV14" s="140">
        <f>AR14</f>
        <v>0.97</v>
      </c>
      <c r="AW14" s="441">
        <f>AU14*AV14</f>
        <v>389758298.70385993</v>
      </c>
      <c r="AX14" s="140">
        <f>AT14</f>
        <v>1</v>
      </c>
      <c r="AY14" s="441">
        <f>AW14*AX14</f>
        <v>389758298.70385993</v>
      </c>
      <c r="AZ14" s="140">
        <f>AV14</f>
        <v>0.97</v>
      </c>
      <c r="BA14" s="441">
        <f>AY14*AZ14</f>
        <v>378065549.74274409</v>
      </c>
      <c r="BB14" s="140">
        <f>AX14</f>
        <v>1</v>
      </c>
      <c r="BC14" s="441">
        <f>BA14*BB14</f>
        <v>378065549.74274409</v>
      </c>
      <c r="BD14" s="140">
        <f>AR14</f>
        <v>0.97</v>
      </c>
      <c r="BE14" s="441">
        <f>BC14*BD14</f>
        <v>366723583.25046176</v>
      </c>
      <c r="BF14" s="140">
        <f>AT14</f>
        <v>1</v>
      </c>
      <c r="BG14" s="441">
        <f>BE14*BF14</f>
        <v>366723583.25046176</v>
      </c>
      <c r="BH14" s="140">
        <f>BD14</f>
        <v>0.97</v>
      </c>
      <c r="BI14" s="441">
        <f>BG14*BH14</f>
        <v>355721875.75294787</v>
      </c>
      <c r="BJ14" s="140">
        <f>BF14</f>
        <v>1</v>
      </c>
      <c r="BK14" s="441">
        <f>BI14*BJ14</f>
        <v>355721875.75294787</v>
      </c>
      <c r="BL14" s="140">
        <f>AB14</f>
        <v>0.97</v>
      </c>
      <c r="BM14" s="441">
        <f>BK14*BL14</f>
        <v>345050219.48035944</v>
      </c>
      <c r="BN14" s="140">
        <f>AD14</f>
        <v>1</v>
      </c>
      <c r="BO14" s="441">
        <f>BM14*BN14</f>
        <v>345050219.48035944</v>
      </c>
      <c r="BP14" s="140">
        <f>BL14</f>
        <v>0.97</v>
      </c>
      <c r="BQ14" s="441">
        <f>BO14*BP14</f>
        <v>334698712.89594865</v>
      </c>
      <c r="BR14" s="140">
        <f>BN14</f>
        <v>1</v>
      </c>
      <c r="BS14" s="441">
        <f>BQ14*BR14</f>
        <v>334698712.89594865</v>
      </c>
      <c r="BT14" s="719">
        <f>G14+I14+M14+Q14+U14+Y14+AC14+AG14+AK14+AO14+AS14+AW14+BA14+BE14+BI14+BM14+BQ14</f>
        <v>7340968569.1428156</v>
      </c>
      <c r="BV14" s="592">
        <f>BP14</f>
        <v>0.97</v>
      </c>
      <c r="BW14" s="441">
        <f>BS14*BV14</f>
        <v>324657751.50907016</v>
      </c>
      <c r="BX14" s="623"/>
      <c r="BY14" s="624"/>
      <c r="BZ14" s="628"/>
    </row>
    <row r="15" spans="1:107"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23"/>
      <c r="BY15" s="623"/>
      <c r="BZ15" s="628"/>
    </row>
    <row r="16" spans="1:107"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455"/>
      <c r="BQ16" s="454" t="s">
        <v>744</v>
      </c>
      <c r="BR16" s="141"/>
      <c r="BS16" s="164"/>
      <c r="BT16" s="126"/>
      <c r="BV16" s="455"/>
      <c r="BW16" s="454" t="s">
        <v>744</v>
      </c>
      <c r="BX16" s="625"/>
      <c r="BY16" s="625"/>
      <c r="BZ16" s="628"/>
      <c r="CM16" s="233"/>
      <c r="CQ16" s="233"/>
      <c r="DB16" s="345"/>
      <c r="DC16" s="233"/>
    </row>
    <row r="17" spans="1:109" ht="16.2" thickBot="1" x14ac:dyDescent="0.35">
      <c r="A17" s="18"/>
      <c r="B17" s="18"/>
      <c r="C17" s="397" t="s">
        <v>276</v>
      </c>
      <c r="D17" s="1213">
        <f>100%-D14-D21</f>
        <v>0.5625</v>
      </c>
      <c r="E17" s="399">
        <f>E11*D17</f>
        <v>5514880076.3111467</v>
      </c>
      <c r="F17" s="1090">
        <v>1</v>
      </c>
      <c r="G17" s="399">
        <f>E17*F17</f>
        <v>5514880076.3111467</v>
      </c>
      <c r="H17" s="464">
        <v>0.97</v>
      </c>
      <c r="I17" s="399">
        <f>G17*H17</f>
        <v>5349433674.0218124</v>
      </c>
      <c r="J17" s="464">
        <v>1</v>
      </c>
      <c r="K17" s="453">
        <f>I17*J17</f>
        <v>5349433674.0218124</v>
      </c>
      <c r="L17" s="400">
        <f>H17</f>
        <v>0.97</v>
      </c>
      <c r="M17" s="453">
        <f>K17*L17</f>
        <v>5188950663.801158</v>
      </c>
      <c r="N17" s="400">
        <f>J17</f>
        <v>1</v>
      </c>
      <c r="O17" s="453">
        <f>M17*N17</f>
        <v>5188950663.801158</v>
      </c>
      <c r="P17" s="400">
        <f>L17</f>
        <v>0.97</v>
      </c>
      <c r="Q17" s="453">
        <f>O17*P17</f>
        <v>5033282143.8871231</v>
      </c>
      <c r="R17" s="400">
        <f>N17</f>
        <v>1</v>
      </c>
      <c r="S17" s="453">
        <f>Q17*R17</f>
        <v>5033282143.8871231</v>
      </c>
      <c r="T17" s="400">
        <f>P17</f>
        <v>0.97</v>
      </c>
      <c r="U17" s="453">
        <f>S17*T17</f>
        <v>4882283679.570509</v>
      </c>
      <c r="V17" s="400">
        <f>R17</f>
        <v>1</v>
      </c>
      <c r="W17" s="453">
        <f>U17*V17</f>
        <v>4882283679.570509</v>
      </c>
      <c r="X17" s="400">
        <f>T17</f>
        <v>0.97</v>
      </c>
      <c r="Y17" s="453">
        <f>W17*X17</f>
        <v>4735815169.1833935</v>
      </c>
      <c r="Z17" s="400">
        <f>V17</f>
        <v>1</v>
      </c>
      <c r="AA17" s="453">
        <f>Y17*Z17</f>
        <v>4735815169.1833935</v>
      </c>
      <c r="AB17" s="400">
        <f>X17</f>
        <v>0.97</v>
      </c>
      <c r="AC17" s="453">
        <f>AA17*AB17</f>
        <v>4593740714.1078911</v>
      </c>
      <c r="AD17" s="400">
        <f>Z17</f>
        <v>1</v>
      </c>
      <c r="AE17" s="453">
        <f>AC17*AD17</f>
        <v>4593740714.1078911</v>
      </c>
      <c r="AF17" s="400">
        <f>AB17</f>
        <v>0.97</v>
      </c>
      <c r="AG17" s="453">
        <f>AE17*AF17</f>
        <v>4455928492.6846542</v>
      </c>
      <c r="AH17" s="400">
        <f>AD17</f>
        <v>1</v>
      </c>
      <c r="AI17" s="453">
        <f>AG17*AH17</f>
        <v>4455928492.6846542</v>
      </c>
      <c r="AJ17" s="400">
        <f>AF17</f>
        <v>0.97</v>
      </c>
      <c r="AK17" s="453">
        <f>AI17*AJ17</f>
        <v>4322250637.9041147</v>
      </c>
      <c r="AL17" s="400">
        <f>AH17</f>
        <v>1</v>
      </c>
      <c r="AM17" s="453">
        <f>AK17*AL17</f>
        <v>4322250637.9041147</v>
      </c>
      <c r="AN17" s="400">
        <f>AJ17</f>
        <v>0.97</v>
      </c>
      <c r="AO17" s="453">
        <f>AM17*AN17</f>
        <v>4192583118.7669911</v>
      </c>
      <c r="AP17" s="400">
        <f>AL17</f>
        <v>1</v>
      </c>
      <c r="AQ17" s="453">
        <f>AO17*AP17</f>
        <v>4192583118.7669911</v>
      </c>
      <c r="AR17" s="400">
        <f>AN17</f>
        <v>0.97</v>
      </c>
      <c r="AS17" s="453">
        <f>AQ17*AR17</f>
        <v>4066805625.2039814</v>
      </c>
      <c r="AT17" s="400">
        <f>AP17</f>
        <v>1</v>
      </c>
      <c r="AU17" s="453">
        <f>AS17*AT17</f>
        <v>4066805625.2039814</v>
      </c>
      <c r="AV17" s="400">
        <f>AR17</f>
        <v>0.97</v>
      </c>
      <c r="AW17" s="453">
        <f>AU17*AV17</f>
        <v>3944801456.4478617</v>
      </c>
      <c r="AX17" s="400">
        <f>AT17</f>
        <v>1</v>
      </c>
      <c r="AY17" s="453">
        <f>AW17*AX17</f>
        <v>3944801456.4478617</v>
      </c>
      <c r="AZ17" s="400">
        <f>AV17</f>
        <v>0.97</v>
      </c>
      <c r="BA17" s="453">
        <f>AY17*AZ17</f>
        <v>3826457412.7544255</v>
      </c>
      <c r="BB17" s="400">
        <f>AX17</f>
        <v>1</v>
      </c>
      <c r="BC17" s="453">
        <f>BA17*BB17</f>
        <v>3826457412.7544255</v>
      </c>
      <c r="BD17" s="400">
        <f>AR17</f>
        <v>0.97</v>
      </c>
      <c r="BE17" s="453">
        <f>BC17*BD17</f>
        <v>3711663690.3717928</v>
      </c>
      <c r="BF17" s="400">
        <f>AT17</f>
        <v>1</v>
      </c>
      <c r="BG17" s="453">
        <f>BE17*BF17</f>
        <v>3711663690.3717928</v>
      </c>
      <c r="BH17" s="400">
        <f>BD17</f>
        <v>0.97</v>
      </c>
      <c r="BI17" s="453">
        <f>BG17*BH17</f>
        <v>3600313779.6606388</v>
      </c>
      <c r="BJ17" s="400">
        <f>BF17</f>
        <v>1</v>
      </c>
      <c r="BK17" s="453">
        <f>BI17*BJ17</f>
        <v>3600313779.6606388</v>
      </c>
      <c r="BL17" s="400">
        <f>AB17</f>
        <v>0.97</v>
      </c>
      <c r="BM17" s="453">
        <f>BK17*BL17</f>
        <v>3492304366.2708197</v>
      </c>
      <c r="BN17" s="400">
        <f>AD17</f>
        <v>1</v>
      </c>
      <c r="BO17" s="453">
        <f>BM17*BN17</f>
        <v>3492304366.2708197</v>
      </c>
      <c r="BP17" s="400">
        <f>BL17</f>
        <v>0.97</v>
      </c>
      <c r="BQ17" s="453">
        <f>BO17*BP17</f>
        <v>3387535235.2826948</v>
      </c>
      <c r="BR17" s="400">
        <f>BN17</f>
        <v>1</v>
      </c>
      <c r="BS17" s="453">
        <f>BQ17*BR17</f>
        <v>3387535235.2826948</v>
      </c>
      <c r="BT17" s="719">
        <f>G17+I17+M17+Q17+U17+Y17+AC17+AG17+AK17+AO17+AS17+AW17+BA17+BE17+BI17+BM17+BQ17</f>
        <v>74299029936.231018</v>
      </c>
      <c r="BV17" s="593">
        <f>BP17</f>
        <v>0.97</v>
      </c>
      <c r="BW17" s="453">
        <f>BS17*BV17</f>
        <v>3285909178.2242141</v>
      </c>
      <c r="BX17" s="623"/>
      <c r="BY17" s="624"/>
      <c r="BZ17" s="628"/>
      <c r="CP17" s="974" t="s">
        <v>872</v>
      </c>
      <c r="CR17" s="974" t="s">
        <v>872</v>
      </c>
      <c r="CU17" s="974" t="s">
        <v>872</v>
      </c>
    </row>
    <row r="18" spans="1:109"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23"/>
      <c r="BY18" s="623"/>
      <c r="BZ18" s="628"/>
      <c r="CP18" s="974" t="s">
        <v>5</v>
      </c>
      <c r="CR18" s="974" t="s">
        <v>7</v>
      </c>
      <c r="CU18" s="77" t="s">
        <v>968</v>
      </c>
    </row>
    <row r="19" spans="1:109"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23"/>
      <c r="BY19" s="623"/>
      <c r="BZ19" s="628"/>
      <c r="CC19" s="473"/>
      <c r="CD19" s="473"/>
      <c r="CE19" s="473"/>
      <c r="CF19" s="473"/>
      <c r="CG19" s="473"/>
      <c r="CH19" s="473"/>
      <c r="CI19" s="473"/>
      <c r="CJ19" s="473"/>
      <c r="CK19" s="473"/>
      <c r="CL19" s="473"/>
      <c r="CM19" s="970"/>
      <c r="CN19" s="485"/>
      <c r="CO19" s="485"/>
      <c r="CP19" s="485" t="s">
        <v>961</v>
      </c>
      <c r="CQ19" s="485" t="s">
        <v>967</v>
      </c>
      <c r="CR19" s="485" t="s">
        <v>59</v>
      </c>
      <c r="CS19" s="485" t="s">
        <v>1343</v>
      </c>
      <c r="CT19" s="485" t="s">
        <v>1344</v>
      </c>
      <c r="CU19" s="485"/>
      <c r="CV19" s="473"/>
      <c r="CW19" s="485" t="s">
        <v>966</v>
      </c>
      <c r="CX19" s="485" t="s">
        <v>974</v>
      </c>
      <c r="CY19" s="485" t="s">
        <v>965</v>
      </c>
      <c r="CZ19" s="485" t="s">
        <v>965</v>
      </c>
      <c r="DA19" s="485" t="s">
        <v>1345</v>
      </c>
      <c r="DB19" s="305" t="s">
        <v>1286</v>
      </c>
      <c r="DC19" s="304"/>
    </row>
    <row r="20" spans="1:109"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122"/>
      <c r="BQ20" s="450" t="s">
        <v>285</v>
      </c>
      <c r="BR20" s="122"/>
      <c r="BS20" s="8"/>
      <c r="BT20" s="126"/>
      <c r="BV20" s="122"/>
      <c r="BW20" s="450" t="s">
        <v>285</v>
      </c>
      <c r="BX20" s="623"/>
      <c r="BY20" s="623"/>
      <c r="BZ20" s="628"/>
      <c r="CC20" s="473"/>
      <c r="CD20" s="473"/>
      <c r="CE20" s="473"/>
      <c r="CF20" s="473"/>
      <c r="CG20" s="473"/>
      <c r="CH20" s="473"/>
      <c r="CI20" s="473"/>
      <c r="CJ20" s="473"/>
      <c r="CK20" s="473"/>
      <c r="CL20" s="473"/>
      <c r="CM20" s="970"/>
      <c r="CN20" s="485"/>
      <c r="CO20" s="485"/>
      <c r="CP20" s="971">
        <f>'POP Dimensions'!C15</f>
        <v>10737418.24</v>
      </c>
      <c r="CQ20" s="954">
        <v>64</v>
      </c>
      <c r="CR20" s="972">
        <f>CQ20*CP20</f>
        <v>687194767.36000001</v>
      </c>
      <c r="CS20" s="954">
        <v>16</v>
      </c>
      <c r="CT20" s="954"/>
      <c r="CU20" s="971">
        <f>CR20*CS20</f>
        <v>10995116277.76</v>
      </c>
      <c r="CV20" s="473"/>
      <c r="CW20" s="485" t="s">
        <v>785</v>
      </c>
      <c r="CX20" s="485"/>
      <c r="CY20" s="485" t="s">
        <v>962</v>
      </c>
      <c r="CZ20" s="485" t="s">
        <v>1341</v>
      </c>
      <c r="DA20" s="485" t="s">
        <v>1342</v>
      </c>
      <c r="DB20" s="305"/>
      <c r="DC20" s="304"/>
    </row>
    <row r="21" spans="1:109" ht="16.2" thickBot="1" x14ac:dyDescent="0.35">
      <c r="C21" s="149" t="s">
        <v>737</v>
      </c>
      <c r="D21" s="1214">
        <v>0.32634660207039301</v>
      </c>
      <c r="E21" s="151">
        <f>E11*D21</f>
        <v>3199577553.2975154</v>
      </c>
      <c r="F21" s="1092">
        <v>0.3</v>
      </c>
      <c r="G21" s="151">
        <f>E21*F21</f>
        <v>959873265.98925459</v>
      </c>
      <c r="H21" s="465">
        <v>0.97</v>
      </c>
      <c r="I21" s="151">
        <f>G21*H21</f>
        <v>931077068.00957692</v>
      </c>
      <c r="J21" s="465">
        <v>1</v>
      </c>
      <c r="K21" s="444">
        <f>I21*J21</f>
        <v>931077068.00957692</v>
      </c>
      <c r="L21" s="152">
        <f>H21</f>
        <v>0.97</v>
      </c>
      <c r="M21" s="444">
        <f>K21*L21</f>
        <v>903144755.96928954</v>
      </c>
      <c r="N21" s="152">
        <f>J21</f>
        <v>1</v>
      </c>
      <c r="O21" s="444">
        <f>M21*N21</f>
        <v>903144755.96928954</v>
      </c>
      <c r="P21" s="152">
        <f>L21</f>
        <v>0.97</v>
      </c>
      <c r="Q21" s="444">
        <f>O21*P21</f>
        <v>876050413.29021084</v>
      </c>
      <c r="R21" s="152">
        <f>N21</f>
        <v>1</v>
      </c>
      <c r="S21" s="444">
        <f>Q21*R21</f>
        <v>876050413.29021084</v>
      </c>
      <c r="T21" s="152">
        <f>P21</f>
        <v>0.97</v>
      </c>
      <c r="U21" s="444">
        <f>S21*T21</f>
        <v>849768900.89150453</v>
      </c>
      <c r="V21" s="152">
        <f>R21</f>
        <v>1</v>
      </c>
      <c r="W21" s="444">
        <f>U21*V21</f>
        <v>849768900.89150453</v>
      </c>
      <c r="X21" s="152">
        <f>T21</f>
        <v>0.97</v>
      </c>
      <c r="Y21" s="444">
        <f>W21*X21</f>
        <v>824275833.86475933</v>
      </c>
      <c r="Z21" s="152">
        <f>V21</f>
        <v>1</v>
      </c>
      <c r="AA21" s="444">
        <f>Y21*Z21</f>
        <v>824275833.86475933</v>
      </c>
      <c r="AB21" s="152">
        <f>X21</f>
        <v>0.97</v>
      </c>
      <c r="AC21" s="444">
        <f>AA21*AB21</f>
        <v>799547558.84881651</v>
      </c>
      <c r="AD21" s="152">
        <f>Z21</f>
        <v>1</v>
      </c>
      <c r="AE21" s="444">
        <f>AC21*AD21</f>
        <v>799547558.84881651</v>
      </c>
      <c r="AF21" s="152">
        <f>AB21</f>
        <v>0.97</v>
      </c>
      <c r="AG21" s="444">
        <f>AE21*AF21</f>
        <v>775561132.08335197</v>
      </c>
      <c r="AH21" s="152">
        <f>AD21</f>
        <v>1</v>
      </c>
      <c r="AI21" s="444">
        <f>AG21*AH21</f>
        <v>775561132.08335197</v>
      </c>
      <c r="AJ21" s="152">
        <f>AF21</f>
        <v>0.97</v>
      </c>
      <c r="AK21" s="444">
        <f>AI21*AJ21</f>
        <v>752294298.1208514</v>
      </c>
      <c r="AL21" s="152">
        <f>AH21</f>
        <v>1</v>
      </c>
      <c r="AM21" s="444">
        <f>AK21*AL21</f>
        <v>752294298.1208514</v>
      </c>
      <c r="AN21" s="152">
        <f>AJ21</f>
        <v>0.97</v>
      </c>
      <c r="AO21" s="444">
        <f>AM21*AN21</f>
        <v>729725469.17722583</v>
      </c>
      <c r="AP21" s="152">
        <f>AL21</f>
        <v>1</v>
      </c>
      <c r="AQ21" s="444">
        <f>AO21*AP21</f>
        <v>729725469.17722583</v>
      </c>
      <c r="AR21" s="152">
        <f>AN21</f>
        <v>0.97</v>
      </c>
      <c r="AS21" s="444">
        <f>AQ21*AR21</f>
        <v>707833705.10190904</v>
      </c>
      <c r="AT21" s="152">
        <f>AP21</f>
        <v>1</v>
      </c>
      <c r="AU21" s="444">
        <f>AS21*AT21</f>
        <v>707833705.10190904</v>
      </c>
      <c r="AV21" s="152">
        <f>AR21</f>
        <v>0.97</v>
      </c>
      <c r="AW21" s="444">
        <f>AU21*AV21</f>
        <v>686598693.9488517</v>
      </c>
      <c r="AX21" s="152">
        <f>AT21</f>
        <v>1</v>
      </c>
      <c r="AY21" s="444">
        <f>AW21*AX21</f>
        <v>686598693.9488517</v>
      </c>
      <c r="AZ21" s="152">
        <f>AV21</f>
        <v>0.97</v>
      </c>
      <c r="BA21" s="444">
        <f>AY21*AZ21</f>
        <v>666000733.13038611</v>
      </c>
      <c r="BB21" s="152">
        <f>AX21</f>
        <v>1</v>
      </c>
      <c r="BC21" s="444">
        <f>BA21*BB21</f>
        <v>666000733.13038611</v>
      </c>
      <c r="BD21" s="152">
        <f>AR21</f>
        <v>0.97</v>
      </c>
      <c r="BE21" s="444">
        <f>BC21*BD21</f>
        <v>646020711.13647449</v>
      </c>
      <c r="BF21" s="152">
        <f>AT21</f>
        <v>1</v>
      </c>
      <c r="BG21" s="444">
        <f>BE21*BF21</f>
        <v>646020711.13647449</v>
      </c>
      <c r="BH21" s="152">
        <f>BD21</f>
        <v>0.97</v>
      </c>
      <c r="BI21" s="444">
        <f>BG21*BH21</f>
        <v>626640089.8023802</v>
      </c>
      <c r="BJ21" s="152">
        <f>BF21</f>
        <v>1</v>
      </c>
      <c r="BK21" s="444">
        <f>BI21*BJ21</f>
        <v>626640089.8023802</v>
      </c>
      <c r="BL21" s="152">
        <f>AB21</f>
        <v>0.97</v>
      </c>
      <c r="BM21" s="444">
        <f>BK21*BL21</f>
        <v>607840887.10830879</v>
      </c>
      <c r="BN21" s="152">
        <f>AD21</f>
        <v>1</v>
      </c>
      <c r="BO21" s="444">
        <f>BM21*BN21</f>
        <v>607840887.10830879</v>
      </c>
      <c r="BP21" s="152">
        <f>BL21</f>
        <v>0.97</v>
      </c>
      <c r="BQ21" s="444">
        <f>BO21*BP21</f>
        <v>589605660.49505949</v>
      </c>
      <c r="BR21" s="152">
        <f>BN21</f>
        <v>1</v>
      </c>
      <c r="BS21" s="444">
        <f>BQ21*BR21</f>
        <v>589605660.49505949</v>
      </c>
      <c r="BT21" s="719">
        <f>G21+I21+M21+Q21+U21+Y21+AC21+AG21+AK21+AO21+AS21+AW21+BA21+BE21+BI21+BM21+BQ21</f>
        <v>12931859176.968214</v>
      </c>
      <c r="BV21" s="594">
        <f>BP21</f>
        <v>0.97</v>
      </c>
      <c r="BW21" s="444">
        <f>BS21*BV21</f>
        <v>571917490.68020773</v>
      </c>
      <c r="BX21" s="623"/>
      <c r="BY21" s="624"/>
      <c r="BZ21" s="628"/>
      <c r="CC21" s="473"/>
      <c r="CS21" s="976"/>
      <c r="CT21" s="976"/>
      <c r="DC21" s="913"/>
    </row>
    <row r="22" spans="1:109"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437"/>
      <c r="BQ22" s="449" t="s">
        <v>738</v>
      </c>
      <c r="BR22" s="433"/>
      <c r="BS22" s="434"/>
      <c r="BT22" s="180"/>
      <c r="BV22" s="437"/>
      <c r="BW22" s="449" t="s">
        <v>738</v>
      </c>
      <c r="BX22" s="623"/>
      <c r="BY22" s="623"/>
      <c r="BZ22" s="628"/>
      <c r="CC22" s="473"/>
      <c r="CJ22" s="1" t="s">
        <v>955</v>
      </c>
      <c r="CN22" s="581" t="s">
        <v>964</v>
      </c>
      <c r="CO22" s="75"/>
      <c r="CP22" s="75"/>
      <c r="CQ22" s="986"/>
      <c r="CR22" s="896"/>
      <c r="CS22" s="980"/>
      <c r="CT22" s="980"/>
      <c r="CU22" s="75"/>
      <c r="CW22" s="75"/>
      <c r="CX22" s="76"/>
      <c r="CY22" s="75"/>
      <c r="CZ22" s="76">
        <f>CZ31</f>
        <v>1372242051.072</v>
      </c>
      <c r="DA22" s="75"/>
      <c r="DB22" s="910"/>
      <c r="DC22" s="304"/>
    </row>
    <row r="23" spans="1:109" ht="16.2" thickBot="1" x14ac:dyDescent="0.35">
      <c r="C23" s="141"/>
      <c r="D23" s="94">
        <f>SUM(D14:D21)</f>
        <v>1</v>
      </c>
      <c r="E23" s="371"/>
      <c r="F23" s="1093">
        <v>0.25</v>
      </c>
      <c r="G23" s="432">
        <f>E21*F23</f>
        <v>799894388.32437885</v>
      </c>
      <c r="H23" s="466">
        <v>0.97</v>
      </c>
      <c r="I23" s="432">
        <f>G23*H23</f>
        <v>775897556.67464745</v>
      </c>
      <c r="J23" s="466">
        <v>1</v>
      </c>
      <c r="K23" s="449">
        <f>I23*J23</f>
        <v>775897556.67464745</v>
      </c>
      <c r="L23" s="430">
        <f>H23</f>
        <v>0.97</v>
      </c>
      <c r="M23" s="449">
        <f>K23*L23</f>
        <v>752620629.97440803</v>
      </c>
      <c r="N23" s="430">
        <f>J23</f>
        <v>1</v>
      </c>
      <c r="O23" s="449">
        <f>M23*N23</f>
        <v>752620629.97440803</v>
      </c>
      <c r="P23" s="430">
        <f>L23</f>
        <v>0.97</v>
      </c>
      <c r="Q23" s="449">
        <f>O23*P23</f>
        <v>730042011.07517576</v>
      </c>
      <c r="R23" s="430">
        <f>N23</f>
        <v>1</v>
      </c>
      <c r="S23" s="449">
        <f>Q23*R23</f>
        <v>730042011.07517576</v>
      </c>
      <c r="T23" s="430">
        <f>P23</f>
        <v>0.97</v>
      </c>
      <c r="U23" s="449">
        <f>S23*T23</f>
        <v>708140750.74292052</v>
      </c>
      <c r="V23" s="430">
        <f>R23</f>
        <v>1</v>
      </c>
      <c r="W23" s="449">
        <f>U23*V23</f>
        <v>708140750.74292052</v>
      </c>
      <c r="X23" s="430">
        <f>T23</f>
        <v>0.97</v>
      </c>
      <c r="Y23" s="449">
        <f>W23*X23</f>
        <v>686896528.22063291</v>
      </c>
      <c r="Z23" s="430">
        <f>V23</f>
        <v>1</v>
      </c>
      <c r="AA23" s="449">
        <f>Y23*Z23</f>
        <v>686896528.22063291</v>
      </c>
      <c r="AB23" s="430">
        <f>X23</f>
        <v>0.97</v>
      </c>
      <c r="AC23" s="449">
        <f>AA23*AB23</f>
        <v>666289632.3740139</v>
      </c>
      <c r="AD23" s="430">
        <f>Z23</f>
        <v>1</v>
      </c>
      <c r="AE23" s="449">
        <f>AC23*AD23</f>
        <v>666289632.3740139</v>
      </c>
      <c r="AF23" s="430">
        <f>AB23</f>
        <v>0.97</v>
      </c>
      <c r="AG23" s="449">
        <f>AE23*AF23</f>
        <v>646300943.40279341</v>
      </c>
      <c r="AH23" s="430">
        <f>AD23</f>
        <v>1</v>
      </c>
      <c r="AI23" s="449">
        <f>AG23*AH23</f>
        <v>646300943.40279341</v>
      </c>
      <c r="AJ23" s="430">
        <f>AF23</f>
        <v>0.97</v>
      </c>
      <c r="AK23" s="449">
        <f>AI23*AJ23</f>
        <v>626911915.10070956</v>
      </c>
      <c r="AL23" s="430">
        <f>AH23</f>
        <v>1</v>
      </c>
      <c r="AM23" s="449">
        <f>AK23*AL23</f>
        <v>626911915.10070956</v>
      </c>
      <c r="AN23" s="430">
        <f>AJ23</f>
        <v>0.97</v>
      </c>
      <c r="AO23" s="449">
        <f>AM23*AN23</f>
        <v>608104557.64768827</v>
      </c>
      <c r="AP23" s="430">
        <f>AL23</f>
        <v>1</v>
      </c>
      <c r="AQ23" s="449">
        <f>AO23*AP23</f>
        <v>608104557.64768827</v>
      </c>
      <c r="AR23" s="430">
        <f>AN23</f>
        <v>0.97</v>
      </c>
      <c r="AS23" s="449">
        <f>AQ23*AR23</f>
        <v>589861420.91825759</v>
      </c>
      <c r="AT23" s="430">
        <f>AP23</f>
        <v>1</v>
      </c>
      <c r="AU23" s="449">
        <f>AS23*AT23</f>
        <v>589861420.91825759</v>
      </c>
      <c r="AV23" s="430">
        <f>AR23</f>
        <v>0.97</v>
      </c>
      <c r="AW23" s="449">
        <f>AU23*AV23</f>
        <v>572165578.29070985</v>
      </c>
      <c r="AX23" s="430">
        <f>AT23</f>
        <v>1</v>
      </c>
      <c r="AY23" s="449">
        <f>AW23*AX23</f>
        <v>572165578.29070985</v>
      </c>
      <c r="AZ23" s="430">
        <f>AV23</f>
        <v>0.97</v>
      </c>
      <c r="BA23" s="449">
        <f>AY23*AZ23</f>
        <v>555000610.94198859</v>
      </c>
      <c r="BB23" s="430">
        <f>AX23</f>
        <v>1</v>
      </c>
      <c r="BC23" s="449">
        <f>BA23*BB23</f>
        <v>555000610.94198859</v>
      </c>
      <c r="BD23" s="430">
        <f>AR23</f>
        <v>0.97</v>
      </c>
      <c r="BE23" s="449">
        <f>BC23*BD23</f>
        <v>538350592.61372888</v>
      </c>
      <c r="BF23" s="430">
        <f>AT23</f>
        <v>1</v>
      </c>
      <c r="BG23" s="449">
        <f>BE23*BF23</f>
        <v>538350592.61372888</v>
      </c>
      <c r="BH23" s="430">
        <f>BD23</f>
        <v>0.97</v>
      </c>
      <c r="BI23" s="449">
        <f>BG23*BH23</f>
        <v>522200074.83531702</v>
      </c>
      <c r="BJ23" s="430">
        <f>BF23</f>
        <v>1</v>
      </c>
      <c r="BK23" s="449">
        <f>BI23*BJ23</f>
        <v>522200074.83531702</v>
      </c>
      <c r="BL23" s="430">
        <f>AB23</f>
        <v>0.97</v>
      </c>
      <c r="BM23" s="449">
        <f>BK23*BL23</f>
        <v>506534072.59025747</v>
      </c>
      <c r="BN23" s="430">
        <f>AD23</f>
        <v>1</v>
      </c>
      <c r="BO23" s="449">
        <f>BM23*BN23</f>
        <v>506534072.59025747</v>
      </c>
      <c r="BP23" s="430">
        <f>BL23</f>
        <v>0.97</v>
      </c>
      <c r="BQ23" s="449">
        <f>BO23*BP23</f>
        <v>491338050.41254973</v>
      </c>
      <c r="BR23" s="430">
        <f>BN23</f>
        <v>1</v>
      </c>
      <c r="BS23" s="449">
        <f>BQ23*BR23</f>
        <v>491338050.41254973</v>
      </c>
      <c r="BT23" s="719">
        <f>G23+I23+M23+Q23+U23+Y23+AC23+AG23+AK23+AO23+AS23+AW23+BA23+BE23+BI23+BM23+BQ23</f>
        <v>10776549314.140179</v>
      </c>
      <c r="BV23" s="595">
        <f>BP23</f>
        <v>0.97</v>
      </c>
      <c r="BW23" s="449">
        <f>BS23*BV23</f>
        <v>476597908.90017325</v>
      </c>
      <c r="BX23" s="623"/>
      <c r="BY23" s="624"/>
      <c r="BZ23" s="628"/>
      <c r="CC23" s="473"/>
      <c r="CH23" s="982" t="s">
        <v>989</v>
      </c>
      <c r="CI23" s="983">
        <v>2016</v>
      </c>
      <c r="CJ23" s="910">
        <v>75543543000000</v>
      </c>
      <c r="CK23" s="984">
        <v>2.5000000000000001E-2</v>
      </c>
      <c r="CL23" s="910">
        <f>CJ23*CK23</f>
        <v>1888588575000</v>
      </c>
      <c r="CN23" s="75"/>
      <c r="CO23" s="968">
        <v>2016</v>
      </c>
      <c r="CP23" s="305">
        <f>CP20</f>
        <v>10737418.24</v>
      </c>
      <c r="CQ23" s="986">
        <v>64</v>
      </c>
      <c r="CR23" s="411">
        <f t="shared" ref="CR23:CR35" si="0">CQ23*CP23</f>
        <v>687194767.36000001</v>
      </c>
      <c r="CS23" s="980"/>
      <c r="CT23" s="980"/>
      <c r="CU23" s="305">
        <f t="shared" ref="CU23:CU35" si="1">CR23*CS23</f>
        <v>0</v>
      </c>
      <c r="CW23" s="75"/>
      <c r="CX23" s="76"/>
      <c r="CY23" s="75"/>
      <c r="CZ23" s="953">
        <v>25000</v>
      </c>
      <c r="DA23" s="968" t="s">
        <v>1349</v>
      </c>
      <c r="DB23" s="910"/>
      <c r="DC23" s="981">
        <v>2016</v>
      </c>
    </row>
    <row r="24" spans="1:109"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122"/>
      <c r="BQ24" s="448" t="s">
        <v>294</v>
      </c>
      <c r="BR24" s="122"/>
      <c r="BS24" s="8"/>
      <c r="BT24" s="126"/>
      <c r="BV24" s="122"/>
      <c r="BW24" s="448" t="s">
        <v>294</v>
      </c>
      <c r="BX24" s="623"/>
      <c r="BY24" s="623"/>
      <c r="BZ24" s="628"/>
      <c r="CC24" s="473"/>
      <c r="CH24" s="982" t="s">
        <v>989</v>
      </c>
      <c r="CI24" s="983">
        <f>CI23+1</f>
        <v>2017</v>
      </c>
      <c r="CJ24" s="910">
        <f>CJ23+CL23</f>
        <v>77432131575000</v>
      </c>
      <c r="CK24" s="985">
        <f>CK23</f>
        <v>2.5000000000000001E-2</v>
      </c>
      <c r="CL24" s="910">
        <f>CJ24*CK24</f>
        <v>1935803289375</v>
      </c>
      <c r="CN24" s="75"/>
      <c r="CO24" s="968">
        <f>CO23+1</f>
        <v>2017</v>
      </c>
      <c r="CP24" s="305">
        <f>CP20</f>
        <v>10737418.24</v>
      </c>
      <c r="CQ24" s="986">
        <v>64</v>
      </c>
      <c r="CR24" s="411">
        <f t="shared" si="0"/>
        <v>687194767.36000001</v>
      </c>
      <c r="CS24" s="980"/>
      <c r="CT24" s="980"/>
      <c r="CU24" s="305">
        <f t="shared" si="1"/>
        <v>0</v>
      </c>
      <c r="CW24" s="75"/>
      <c r="CX24" s="76"/>
      <c r="CY24" s="75"/>
      <c r="CZ24" s="76">
        <f>CZ22/CZ23</f>
        <v>54889.682042879998</v>
      </c>
      <c r="DA24" s="75"/>
      <c r="DB24" s="910"/>
      <c r="DC24" s="981">
        <f>DC23+1</f>
        <v>2017</v>
      </c>
    </row>
    <row r="25" spans="1:109" ht="16.2" thickBot="1" x14ac:dyDescent="0.35">
      <c r="C25" s="122"/>
      <c r="D25" s="573" t="s">
        <v>1367</v>
      </c>
      <c r="E25" s="7"/>
      <c r="F25" s="1094">
        <v>0.2</v>
      </c>
      <c r="G25" s="99">
        <f>E21*F25</f>
        <v>639915510.6595031</v>
      </c>
      <c r="H25" s="467">
        <v>0.97</v>
      </c>
      <c r="I25" s="99">
        <f>G25*H25</f>
        <v>620718045.33971798</v>
      </c>
      <c r="J25" s="467">
        <v>1</v>
      </c>
      <c r="K25" s="443">
        <f>I25*J25</f>
        <v>620718045.33971798</v>
      </c>
      <c r="L25" s="153">
        <f>H25</f>
        <v>0.97</v>
      </c>
      <c r="M25" s="443">
        <f>K25*L25</f>
        <v>602096503.9795264</v>
      </c>
      <c r="N25" s="153">
        <f>J25</f>
        <v>1</v>
      </c>
      <c r="O25" s="443">
        <f>M25*N25</f>
        <v>602096503.9795264</v>
      </c>
      <c r="P25" s="153">
        <f>L25</f>
        <v>0.97</v>
      </c>
      <c r="Q25" s="443">
        <f>O25*P25</f>
        <v>584033608.86014056</v>
      </c>
      <c r="R25" s="153">
        <f>N25</f>
        <v>1</v>
      </c>
      <c r="S25" s="443">
        <f>Q25*R25</f>
        <v>584033608.86014056</v>
      </c>
      <c r="T25" s="153">
        <f>P25</f>
        <v>0.97</v>
      </c>
      <c r="U25" s="443">
        <f>S25*T25</f>
        <v>566512600.59433627</v>
      </c>
      <c r="V25" s="153">
        <f>R25</f>
        <v>1</v>
      </c>
      <c r="W25" s="443">
        <f>U25*V25</f>
        <v>566512600.59433627</v>
      </c>
      <c r="X25" s="153">
        <f>T25</f>
        <v>0.97</v>
      </c>
      <c r="Y25" s="443">
        <f>W25*X25</f>
        <v>549517222.57650614</v>
      </c>
      <c r="Z25" s="153">
        <f>V25</f>
        <v>1</v>
      </c>
      <c r="AA25" s="443">
        <f>Y25*Z25</f>
        <v>549517222.57650614</v>
      </c>
      <c r="AB25" s="153">
        <f>X25</f>
        <v>0.97</v>
      </c>
      <c r="AC25" s="443">
        <f>AA25*AB25</f>
        <v>533031705.89921093</v>
      </c>
      <c r="AD25" s="153">
        <f>Z25</f>
        <v>1</v>
      </c>
      <c r="AE25" s="443">
        <f>AC25*AD25</f>
        <v>533031705.89921093</v>
      </c>
      <c r="AF25" s="153">
        <f>AB25</f>
        <v>0.97</v>
      </c>
      <c r="AG25" s="443">
        <f>AE25*AF25</f>
        <v>517040754.72223461</v>
      </c>
      <c r="AH25" s="153">
        <f>AD25</f>
        <v>1</v>
      </c>
      <c r="AI25" s="443">
        <f>AG25*AH25</f>
        <v>517040754.72223461</v>
      </c>
      <c r="AJ25" s="153">
        <f>AF25</f>
        <v>0.97</v>
      </c>
      <c r="AK25" s="443">
        <f>AI25*AJ25</f>
        <v>501529532.08056754</v>
      </c>
      <c r="AL25" s="153">
        <f>AH25</f>
        <v>1</v>
      </c>
      <c r="AM25" s="443">
        <f>AK25*AL25</f>
        <v>501529532.08056754</v>
      </c>
      <c r="AN25" s="153">
        <f>AJ25</f>
        <v>0.97</v>
      </c>
      <c r="AO25" s="443">
        <f>AM25*AN25</f>
        <v>486483646.11815047</v>
      </c>
      <c r="AP25" s="153">
        <f>AL25</f>
        <v>1</v>
      </c>
      <c r="AQ25" s="443">
        <f>AO25*AP25</f>
        <v>486483646.11815047</v>
      </c>
      <c r="AR25" s="153">
        <f>AN25</f>
        <v>0.97</v>
      </c>
      <c r="AS25" s="443">
        <f>AQ25*AR25</f>
        <v>471889136.73460597</v>
      </c>
      <c r="AT25" s="153">
        <f>AP25</f>
        <v>1</v>
      </c>
      <c r="AU25" s="443">
        <f>AS25*AT25</f>
        <v>471889136.73460597</v>
      </c>
      <c r="AV25" s="153">
        <f>AR25</f>
        <v>0.97</v>
      </c>
      <c r="AW25" s="443">
        <f>AU25*AV25</f>
        <v>457732462.63256776</v>
      </c>
      <c r="AX25" s="153">
        <f>AT25</f>
        <v>1</v>
      </c>
      <c r="AY25" s="443">
        <f>AW25*AX25</f>
        <v>457732462.63256776</v>
      </c>
      <c r="AZ25" s="153">
        <f>AV25</f>
        <v>0.97</v>
      </c>
      <c r="BA25" s="443">
        <f>AY25*AZ25</f>
        <v>444000488.7535907</v>
      </c>
      <c r="BB25" s="153">
        <f>AX25</f>
        <v>1</v>
      </c>
      <c r="BC25" s="443">
        <f>BA25*BB25</f>
        <v>444000488.7535907</v>
      </c>
      <c r="BD25" s="153">
        <f>AR25</f>
        <v>0.97</v>
      </c>
      <c r="BE25" s="443">
        <f>BC25*BD25</f>
        <v>430680474.09098297</v>
      </c>
      <c r="BF25" s="153">
        <f>AT25</f>
        <v>1</v>
      </c>
      <c r="BG25" s="443">
        <f>BE25*BF25</f>
        <v>430680474.09098297</v>
      </c>
      <c r="BH25" s="153">
        <f>BD25</f>
        <v>0.97</v>
      </c>
      <c r="BI25" s="443">
        <f>BG25*BH25</f>
        <v>417760059.86825347</v>
      </c>
      <c r="BJ25" s="153">
        <f>BF25</f>
        <v>1</v>
      </c>
      <c r="BK25" s="443">
        <f>BI25*BJ25</f>
        <v>417760059.86825347</v>
      </c>
      <c r="BL25" s="153">
        <f>AB25</f>
        <v>0.97</v>
      </c>
      <c r="BM25" s="443">
        <f>BK25*BL25</f>
        <v>405227258.07220584</v>
      </c>
      <c r="BN25" s="153">
        <f>AD25</f>
        <v>1</v>
      </c>
      <c r="BO25" s="443">
        <f>BM25*BN25</f>
        <v>405227258.07220584</v>
      </c>
      <c r="BP25" s="153">
        <f>BL25</f>
        <v>0.97</v>
      </c>
      <c r="BQ25" s="443">
        <f>BO25*BP25</f>
        <v>393070440.33003968</v>
      </c>
      <c r="BR25" s="153">
        <f>BN25</f>
        <v>1</v>
      </c>
      <c r="BS25" s="443">
        <f>BQ25*BR25</f>
        <v>393070440.33003968</v>
      </c>
      <c r="BT25" s="719">
        <f>G25+I25+M25+Q25+U25+Y25+AC25+AG25+AK25+AO25+AS25+AW25+BA25+BE25+BI25+BM25+BQ25</f>
        <v>8621239451.3121395</v>
      </c>
      <c r="BV25" s="596">
        <f>BP25</f>
        <v>0.97</v>
      </c>
      <c r="BW25" s="443">
        <f>BS25*BV25</f>
        <v>381278327.12013847</v>
      </c>
      <c r="BX25" s="623"/>
      <c r="BY25" s="624"/>
      <c r="BZ25" s="628"/>
      <c r="CC25" s="473"/>
      <c r="CH25" s="982" t="s">
        <v>989</v>
      </c>
      <c r="CI25" s="983">
        <f t="shared" ref="CI25:CI35" si="2">CI24+1</f>
        <v>2018</v>
      </c>
      <c r="CJ25" s="910">
        <f t="shared" ref="CJ25:CJ35" si="3">CJ24+CL24</f>
        <v>79367934864375</v>
      </c>
      <c r="CK25" s="985">
        <f t="shared" ref="CK25:CK35" si="4">CK24</f>
        <v>2.5000000000000001E-2</v>
      </c>
      <c r="CL25" s="910">
        <f t="shared" ref="CL25:CL35" si="5">CJ25*CK25</f>
        <v>1984198371609.375</v>
      </c>
      <c r="CN25" s="75"/>
      <c r="CO25" s="968">
        <f t="shared" ref="CO25:CO35" si="6">CO24+1</f>
        <v>2018</v>
      </c>
      <c r="CP25" s="305">
        <f>CP20</f>
        <v>10737418.24</v>
      </c>
      <c r="CQ25" s="986">
        <v>64</v>
      </c>
      <c r="CR25" s="411">
        <f t="shared" si="0"/>
        <v>687194767.36000001</v>
      </c>
      <c r="CS25" s="980">
        <v>2.5000000000000001E-2</v>
      </c>
      <c r="CT25" s="980"/>
      <c r="CU25" s="305">
        <f t="shared" si="1"/>
        <v>17179869.184</v>
      </c>
      <c r="CV25" s="978" t="s">
        <v>1144</v>
      </c>
      <c r="CW25" s="305">
        <f t="shared" ref="CW25:CW55" si="7">CU25</f>
        <v>17179869.184</v>
      </c>
      <c r="CX25" s="691">
        <f t="shared" ref="CX25:CX35" si="8">CW25+CX24-DB25</f>
        <v>17179869.184</v>
      </c>
      <c r="CY25" s="893">
        <v>0.125</v>
      </c>
      <c r="CZ25" s="973">
        <f>CX25*CY25</f>
        <v>2147483.648</v>
      </c>
      <c r="DA25" s="305">
        <f>BT58</f>
        <v>2293484710.1038718</v>
      </c>
      <c r="DB25" s="910">
        <f t="shared" ref="DB25:DB35" si="9">CR25*CT25</f>
        <v>0</v>
      </c>
      <c r="DC25" s="981">
        <f t="shared" ref="DC25:DC55" si="10">DC24+1</f>
        <v>2018</v>
      </c>
    </row>
    <row r="26" spans="1:109"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126"/>
      <c r="BV26" s="122"/>
      <c r="BW26" s="452" t="s">
        <v>733</v>
      </c>
      <c r="BX26" s="623"/>
      <c r="BY26" s="623"/>
      <c r="BZ26" s="628"/>
      <c r="CC26" s="473"/>
      <c r="CH26" s="982" t="s">
        <v>989</v>
      </c>
      <c r="CI26" s="983">
        <f t="shared" si="2"/>
        <v>2019</v>
      </c>
      <c r="CJ26" s="910">
        <f t="shared" si="3"/>
        <v>81352133235984.375</v>
      </c>
      <c r="CK26" s="985">
        <f t="shared" si="4"/>
        <v>2.5000000000000001E-2</v>
      </c>
      <c r="CL26" s="910">
        <f t="shared" si="5"/>
        <v>2033803330899.6094</v>
      </c>
      <c r="CN26" s="75"/>
      <c r="CO26" s="968">
        <f t="shared" si="6"/>
        <v>2019</v>
      </c>
      <c r="CP26" s="305">
        <f>CP20</f>
        <v>10737418.24</v>
      </c>
      <c r="CQ26" s="986">
        <v>64</v>
      </c>
      <c r="CR26" s="411">
        <f t="shared" si="0"/>
        <v>687194767.36000001</v>
      </c>
      <c r="CS26" s="980">
        <v>0.2</v>
      </c>
      <c r="CT26" s="980"/>
      <c r="CU26" s="305">
        <f t="shared" si="1"/>
        <v>137438953.472</v>
      </c>
      <c r="CV26" s="978" t="s">
        <v>1144</v>
      </c>
      <c r="CW26" s="305">
        <f t="shared" si="7"/>
        <v>137438953.472</v>
      </c>
      <c r="CX26" s="691">
        <f t="shared" si="8"/>
        <v>154618822.65600002</v>
      </c>
      <c r="CY26" s="893">
        <f>CY25</f>
        <v>0.125</v>
      </c>
      <c r="CZ26" s="973">
        <f t="shared" ref="CZ26:CZ55" si="11">CX26*CY26</f>
        <v>19327352.832000002</v>
      </c>
      <c r="DA26" s="305">
        <f>DA25</f>
        <v>2293484710.1038718</v>
      </c>
      <c r="DB26" s="910">
        <f t="shared" si="9"/>
        <v>0</v>
      </c>
      <c r="DC26" s="981">
        <f t="shared" si="10"/>
        <v>2019</v>
      </c>
    </row>
    <row r="27" spans="1:109" ht="19.2" thickBot="1" x14ac:dyDescent="0.5">
      <c r="C27" s="122"/>
      <c r="D27" s="574" t="s">
        <v>1369</v>
      </c>
      <c r="E27" s="7"/>
      <c r="F27" s="1096">
        <v>0.25</v>
      </c>
      <c r="G27" s="446">
        <f>E21*F27</f>
        <v>799894388.32437885</v>
      </c>
      <c r="H27" s="447">
        <v>0.25</v>
      </c>
      <c r="I27" s="446">
        <f>G27*H27</f>
        <v>199973597.08109471</v>
      </c>
      <c r="J27" s="447">
        <v>1</v>
      </c>
      <c r="K27" s="439">
        <f>I27*J27</f>
        <v>199973597.08109471</v>
      </c>
      <c r="L27" s="438">
        <f>H27</f>
        <v>0.25</v>
      </c>
      <c r="M27" s="439">
        <f>K27*L27</f>
        <v>49993399.270273678</v>
      </c>
      <c r="N27" s="438">
        <f>J27</f>
        <v>1</v>
      </c>
      <c r="O27" s="439">
        <f>M27*N27</f>
        <v>49993399.270273678</v>
      </c>
      <c r="P27" s="438">
        <f>L27</f>
        <v>0.25</v>
      </c>
      <c r="Q27" s="439">
        <f>O27*P27</f>
        <v>12498349.81756842</v>
      </c>
      <c r="R27" s="438">
        <f>N27</f>
        <v>1</v>
      </c>
      <c r="S27" s="439">
        <f>Q27*R27</f>
        <v>12498349.81756842</v>
      </c>
      <c r="T27" s="438">
        <f>P27</f>
        <v>0.25</v>
      </c>
      <c r="U27" s="439">
        <f>S27*T27</f>
        <v>3124587.4543921049</v>
      </c>
      <c r="V27" s="438">
        <f>R27</f>
        <v>1</v>
      </c>
      <c r="W27" s="439">
        <f>U27*V27</f>
        <v>3124587.4543921049</v>
      </c>
      <c r="X27" s="438">
        <f>T27</f>
        <v>0.25</v>
      </c>
      <c r="Y27" s="439">
        <f>W27*X27</f>
        <v>781146.86359802622</v>
      </c>
      <c r="Z27" s="438">
        <f>V27</f>
        <v>1</v>
      </c>
      <c r="AA27" s="439">
        <f>Y27*Z27</f>
        <v>781146.86359802622</v>
      </c>
      <c r="AB27" s="438">
        <f>X27</f>
        <v>0.25</v>
      </c>
      <c r="AC27" s="439">
        <f>AA27*AB27</f>
        <v>195286.71589950655</v>
      </c>
      <c r="AD27" s="438">
        <f>Z27</f>
        <v>1</v>
      </c>
      <c r="AE27" s="439">
        <f>AC27*AD27</f>
        <v>195286.71589950655</v>
      </c>
      <c r="AF27" s="438">
        <f>AB27</f>
        <v>0.25</v>
      </c>
      <c r="AG27" s="439">
        <f>AE27*AF27</f>
        <v>48821.678974876639</v>
      </c>
      <c r="AH27" s="438">
        <f>AD27</f>
        <v>1</v>
      </c>
      <c r="AI27" s="439">
        <f>AG27*AH27</f>
        <v>48821.678974876639</v>
      </c>
      <c r="AJ27" s="438">
        <f>AF27</f>
        <v>0.25</v>
      </c>
      <c r="AK27" s="439">
        <f>AI27*AJ27</f>
        <v>12205.41974371916</v>
      </c>
      <c r="AL27" s="438">
        <f>AH27</f>
        <v>1</v>
      </c>
      <c r="AM27" s="439">
        <f>AK27*AL27</f>
        <v>12205.41974371916</v>
      </c>
      <c r="AN27" s="438">
        <f>AJ27</f>
        <v>0.25</v>
      </c>
      <c r="AO27" s="439">
        <f>AM27*AN27</f>
        <v>3051.3549359297899</v>
      </c>
      <c r="AP27" s="438">
        <f>AL27</f>
        <v>1</v>
      </c>
      <c r="AQ27" s="439">
        <f>AO27*AP27</f>
        <v>3051.3549359297899</v>
      </c>
      <c r="AR27" s="438">
        <f>AN27</f>
        <v>0.25</v>
      </c>
      <c r="AS27" s="439">
        <f>AQ27*AR27</f>
        <v>762.83873398244748</v>
      </c>
      <c r="AT27" s="438">
        <f>AP27</f>
        <v>1</v>
      </c>
      <c r="AU27" s="439">
        <f>AS27*AT27</f>
        <v>762.83873398244748</v>
      </c>
      <c r="AV27" s="438">
        <f>AR27</f>
        <v>0.25</v>
      </c>
      <c r="AW27" s="439">
        <f>AU27*AV27</f>
        <v>190.70968349561187</v>
      </c>
      <c r="AX27" s="438">
        <f>AT27</f>
        <v>1</v>
      </c>
      <c r="AY27" s="439">
        <f>AW27*AX27</f>
        <v>190.70968349561187</v>
      </c>
      <c r="AZ27" s="438">
        <f>AV27</f>
        <v>0.25</v>
      </c>
      <c r="BA27" s="439">
        <f>AY27*AZ27</f>
        <v>47.677420873902967</v>
      </c>
      <c r="BB27" s="438">
        <f>AX27</f>
        <v>1</v>
      </c>
      <c r="BC27" s="439">
        <f>BA27*BB27</f>
        <v>47.677420873902967</v>
      </c>
      <c r="BD27" s="438">
        <f>AR27</f>
        <v>0.25</v>
      </c>
      <c r="BE27" s="439">
        <f>BC27*BD27</f>
        <v>11.919355218475742</v>
      </c>
      <c r="BF27" s="438">
        <f>AT27</f>
        <v>1</v>
      </c>
      <c r="BG27" s="439">
        <f>BE27*BF27</f>
        <v>11.919355218475742</v>
      </c>
      <c r="BH27" s="438">
        <f>BD27</f>
        <v>0.25</v>
      </c>
      <c r="BI27" s="439">
        <f>BG27*BH27</f>
        <v>2.9798388046189355</v>
      </c>
      <c r="BJ27" s="438">
        <f>BF27</f>
        <v>1</v>
      </c>
      <c r="BK27" s="439">
        <f>BI27*BJ27</f>
        <v>2.9798388046189355</v>
      </c>
      <c r="BL27" s="438">
        <f>AB27</f>
        <v>0.25</v>
      </c>
      <c r="BM27" s="439">
        <f>BK27*BL27</f>
        <v>0.74495970115473387</v>
      </c>
      <c r="BN27" s="438">
        <f>AD27</f>
        <v>1</v>
      </c>
      <c r="BO27" s="439">
        <f>BM27*BN27</f>
        <v>0.74495970115473387</v>
      </c>
      <c r="BP27" s="438">
        <f>BL27</f>
        <v>0.25</v>
      </c>
      <c r="BQ27" s="439">
        <f>BO27*BP27</f>
        <v>0.18623992528868347</v>
      </c>
      <c r="BR27" s="438">
        <f>BN27</f>
        <v>1</v>
      </c>
      <c r="BS27" s="439">
        <f>BQ27*BR27</f>
        <v>0.18623992528868347</v>
      </c>
      <c r="BT27" s="719">
        <f>G27+I27+M27+Q27+U27+Y27+AC27+AG27+AK27+AO27+AS27+AW27+BA27+BE27+BI27+BM27+BQ27</f>
        <v>1066525851.037092</v>
      </c>
      <c r="BV27" s="597">
        <f>BP27</f>
        <v>0.25</v>
      </c>
      <c r="BW27" s="439">
        <f>BS27*BV27</f>
        <v>4.6559981322170867E-2</v>
      </c>
      <c r="BX27" s="623"/>
      <c r="BY27" s="624"/>
      <c r="BZ27" s="628"/>
      <c r="CC27" s="473"/>
      <c r="CH27" s="982" t="s">
        <v>989</v>
      </c>
      <c r="CI27" s="983">
        <f t="shared" si="2"/>
        <v>2020</v>
      </c>
      <c r="CJ27" s="910">
        <f t="shared" si="3"/>
        <v>83385936566883.984</v>
      </c>
      <c r="CK27" s="985">
        <f t="shared" si="4"/>
        <v>2.5000000000000001E-2</v>
      </c>
      <c r="CL27" s="910">
        <f t="shared" si="5"/>
        <v>2084648414172.0996</v>
      </c>
      <c r="CM27" s="895" t="s">
        <v>1283</v>
      </c>
      <c r="CN27" s="75"/>
      <c r="CO27" s="968">
        <f t="shared" si="6"/>
        <v>2020</v>
      </c>
      <c r="CP27" s="305">
        <f>CP20</f>
        <v>10737418.24</v>
      </c>
      <c r="CQ27" s="986">
        <v>64</v>
      </c>
      <c r="CR27" s="411">
        <f t="shared" si="0"/>
        <v>687194767.36000001</v>
      </c>
      <c r="CS27" s="980">
        <v>1.5</v>
      </c>
      <c r="CT27" s="980"/>
      <c r="CU27" s="305">
        <f t="shared" si="1"/>
        <v>1030792151.04</v>
      </c>
      <c r="CV27" s="978" t="s">
        <v>1144</v>
      </c>
      <c r="CW27" s="305">
        <f t="shared" si="7"/>
        <v>1030792151.04</v>
      </c>
      <c r="CX27" s="691">
        <f t="shared" si="8"/>
        <v>1185410973.6960001</v>
      </c>
      <c r="CY27" s="893">
        <f t="shared" ref="CY27:CY31" si="12">CY26</f>
        <v>0.125</v>
      </c>
      <c r="CZ27" s="973">
        <f t="shared" si="11"/>
        <v>148176371.71200001</v>
      </c>
      <c r="DA27" s="305">
        <f t="shared" ref="DA27:DA55" si="13">DA26</f>
        <v>2293484710.1038718</v>
      </c>
      <c r="DB27" s="910">
        <f t="shared" si="9"/>
        <v>0</v>
      </c>
      <c r="DC27" s="981">
        <f t="shared" si="10"/>
        <v>2020</v>
      </c>
    </row>
    <row r="28" spans="1:109"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437"/>
      <c r="BQ28" s="434"/>
      <c r="BR28" s="142"/>
      <c r="BS28" s="434"/>
      <c r="BT28" s="180"/>
      <c r="BV28" s="122"/>
      <c r="BW28" s="8"/>
      <c r="BX28" s="623"/>
      <c r="BY28" s="624"/>
      <c r="BZ28" s="629">
        <f>BW5</f>
        <v>5841616316.8430481</v>
      </c>
      <c r="CC28" s="473"/>
      <c r="CH28" s="982" t="s">
        <v>989</v>
      </c>
      <c r="CI28" s="983">
        <f t="shared" si="2"/>
        <v>2021</v>
      </c>
      <c r="CJ28" s="910">
        <f t="shared" si="3"/>
        <v>85470584981056.078</v>
      </c>
      <c r="CK28" s="985">
        <f t="shared" si="4"/>
        <v>2.5000000000000001E-2</v>
      </c>
      <c r="CL28" s="910">
        <f t="shared" si="5"/>
        <v>2136764624526.4021</v>
      </c>
      <c r="CN28" s="75"/>
      <c r="CO28" s="968">
        <f t="shared" si="6"/>
        <v>2021</v>
      </c>
      <c r="CP28" s="305">
        <f>CP20</f>
        <v>10737418.24</v>
      </c>
      <c r="CQ28" s="986">
        <v>64</v>
      </c>
      <c r="CR28" s="411">
        <f t="shared" si="0"/>
        <v>687194767.36000001</v>
      </c>
      <c r="CS28" s="980">
        <v>1.25</v>
      </c>
      <c r="CT28" s="980"/>
      <c r="CU28" s="305">
        <f t="shared" si="1"/>
        <v>858993459.20000005</v>
      </c>
      <c r="CV28" s="978" t="s">
        <v>1144</v>
      </c>
      <c r="CW28" s="305">
        <f t="shared" si="7"/>
        <v>858993459.20000005</v>
      </c>
      <c r="CX28" s="691">
        <f t="shared" si="8"/>
        <v>2044404432.8960001</v>
      </c>
      <c r="CY28" s="893">
        <f t="shared" si="12"/>
        <v>0.125</v>
      </c>
      <c r="CZ28" s="973">
        <f t="shared" si="11"/>
        <v>255550554.11200002</v>
      </c>
      <c r="DA28" s="305">
        <f t="shared" si="13"/>
        <v>2293484710.1038718</v>
      </c>
      <c r="DB28" s="910">
        <f t="shared" si="9"/>
        <v>0</v>
      </c>
      <c r="DC28" s="981">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119251539234.82979</v>
      </c>
      <c r="BV29" s="179"/>
      <c r="BW29" s="161">
        <f>SUM(BW10:BW28)</f>
        <v>5202691610.813118</v>
      </c>
      <c r="BX29" s="691">
        <v>1</v>
      </c>
      <c r="BY29" s="183">
        <f>BW29*BX29</f>
        <v>5202691610.813118</v>
      </c>
      <c r="BZ29" s="645">
        <f>BY29+BZ28</f>
        <v>11044307927.656166</v>
      </c>
      <c r="CA29" s="253" t="s">
        <v>1383</v>
      </c>
      <c r="CC29" s="473"/>
      <c r="CH29" s="982" t="s">
        <v>989</v>
      </c>
      <c r="CI29" s="983">
        <f>CI28+1</f>
        <v>2022</v>
      </c>
      <c r="CJ29" s="910">
        <f>CJ28+CL28</f>
        <v>87607349605582.484</v>
      </c>
      <c r="CK29" s="985">
        <f>CK28</f>
        <v>2.5000000000000001E-2</v>
      </c>
      <c r="CL29" s="910">
        <f t="shared" si="5"/>
        <v>2190183740139.5623</v>
      </c>
      <c r="CN29" s="75"/>
      <c r="CO29" s="968">
        <f>CO28+1</f>
        <v>2022</v>
      </c>
      <c r="CP29" s="305">
        <f>CP20</f>
        <v>10737418.24</v>
      </c>
      <c r="CQ29" s="986">
        <v>64</v>
      </c>
      <c r="CR29" s="411">
        <f t="shared" si="0"/>
        <v>687194767.36000001</v>
      </c>
      <c r="CS29" s="980">
        <v>2</v>
      </c>
      <c r="CT29" s="980"/>
      <c r="CU29" s="305">
        <f t="shared" si="1"/>
        <v>1374389534.72</v>
      </c>
      <c r="CV29" s="978" t="s">
        <v>1144</v>
      </c>
      <c r="CW29" s="305">
        <f t="shared" si="7"/>
        <v>1374389534.72</v>
      </c>
      <c r="CX29" s="691">
        <f t="shared" si="8"/>
        <v>3418793967.6160002</v>
      </c>
      <c r="CY29" s="893">
        <f t="shared" si="12"/>
        <v>0.125</v>
      </c>
      <c r="CZ29" s="973">
        <f t="shared" si="11"/>
        <v>427349245.95200002</v>
      </c>
      <c r="DA29" s="305">
        <f t="shared" si="13"/>
        <v>2293484710.1038718</v>
      </c>
      <c r="DB29" s="910">
        <f t="shared" si="9"/>
        <v>0</v>
      </c>
      <c r="DC29" s="981">
        <f>DC28+1</f>
        <v>2022</v>
      </c>
    </row>
    <row r="30" spans="1:109" x14ac:dyDescent="0.3">
      <c r="C30" s="158"/>
      <c r="D30" s="10"/>
      <c r="E30" s="10"/>
      <c r="F30" s="10"/>
      <c r="G30" s="159">
        <f>SUM(G10:G29)</f>
        <v>9804231246.7753735</v>
      </c>
      <c r="H30" s="599"/>
      <c r="I30" s="172">
        <f>SUM(I10:I29)</f>
        <v>8806131949.7614708</v>
      </c>
      <c r="J30" s="158"/>
      <c r="K30" s="11"/>
      <c r="L30" s="160"/>
      <c r="M30" s="161">
        <f>SUM(M10:M29)</f>
        <v>8333942801.3616934</v>
      </c>
      <c r="N30" s="158"/>
      <c r="O30" s="11"/>
      <c r="P30" s="598"/>
      <c r="Q30" s="172">
        <f>SUM(Q10:Q29)</f>
        <v>8015917169.8419743</v>
      </c>
      <c r="R30" s="158"/>
      <c r="S30" s="11"/>
      <c r="T30" s="160"/>
      <c r="U30" s="161">
        <f>SUM(U10:U29)</f>
        <v>7750434792.8759279</v>
      </c>
      <c r="V30" s="158"/>
      <c r="W30" s="11"/>
      <c r="X30" s="598"/>
      <c r="Y30" s="172">
        <f>SUM(Y10:Y29)</f>
        <v>7507669021.121418</v>
      </c>
      <c r="Z30" s="158"/>
      <c r="AA30" s="11"/>
      <c r="AB30" s="160"/>
      <c r="AC30" s="161">
        <f>SUM(AC10:AC29)</f>
        <v>7277875012.2454519</v>
      </c>
      <c r="AD30" s="158"/>
      <c r="AE30" s="11"/>
      <c r="AF30" s="598"/>
      <c r="AG30" s="172">
        <f>SUM(AG10:AG29)</f>
        <v>7057397399.1923742</v>
      </c>
      <c r="AH30" s="158"/>
      <c r="AI30" s="11"/>
      <c r="AJ30" s="598"/>
      <c r="AK30" s="172">
        <f>SUM(AK10:AK29)</f>
        <v>6844639947.4826069</v>
      </c>
      <c r="AL30" s="158"/>
      <c r="AM30" s="11"/>
      <c r="AN30" s="598"/>
      <c r="AO30" s="172">
        <f>SUM(AO10:AO29)</f>
        <v>6638791772.0933456</v>
      </c>
      <c r="AP30" s="158"/>
      <c r="AQ30" s="11"/>
      <c r="AR30" s="598"/>
      <c r="AS30" s="172">
        <f>SUM(AS10:AS29)</f>
        <v>6439375727.423707</v>
      </c>
      <c r="AT30" s="158"/>
      <c r="AU30" s="11"/>
      <c r="AV30" s="598"/>
      <c r="AW30" s="172">
        <f>SUM(AW10:AW29)</f>
        <v>6246068859.091465</v>
      </c>
      <c r="AX30" s="158"/>
      <c r="AY30" s="11"/>
      <c r="AZ30" s="598"/>
      <c r="BA30" s="172">
        <f>SUM(BA10:BA29)</f>
        <v>6058624132.3749294</v>
      </c>
      <c r="BB30" s="158"/>
      <c r="BC30" s="11"/>
      <c r="BD30" s="598"/>
      <c r="BE30" s="172">
        <f>SUM(BE10:BE29)</f>
        <v>5876834112.2595272</v>
      </c>
      <c r="BF30" s="158"/>
      <c r="BG30" s="11"/>
      <c r="BH30" s="598"/>
      <c r="BI30" s="172">
        <f>SUM(BI10:BI29)</f>
        <v>5700513449.4015999</v>
      </c>
      <c r="BJ30" s="158"/>
      <c r="BK30" s="11"/>
      <c r="BL30" s="598"/>
      <c r="BM30" s="172">
        <f>SUM(BM10:BM29)</f>
        <v>5529490228.3199654</v>
      </c>
      <c r="BN30" s="158"/>
      <c r="BO30" s="11"/>
      <c r="BP30" s="179"/>
      <c r="BQ30" s="161">
        <f>SUM(BQ10:BQ29)</f>
        <v>5363601613.2069445</v>
      </c>
      <c r="BR30" s="158"/>
      <c r="BS30" s="11"/>
      <c r="BT30" s="161">
        <f>G30+I30+M30+Q30+U30+Y30+AC30+BM30+BQ30</f>
        <v>68389293835.510216</v>
      </c>
      <c r="BZ30" s="253" t="s">
        <v>1383</v>
      </c>
      <c r="CC30" s="473"/>
      <c r="CH30" s="982" t="s">
        <v>989</v>
      </c>
      <c r="CI30" s="983">
        <f>CI29+1</f>
        <v>2023</v>
      </c>
      <c r="CJ30" s="910">
        <f>CJ29+CL29</f>
        <v>89797533345722.047</v>
      </c>
      <c r="CK30" s="985">
        <f>CK29</f>
        <v>2.5000000000000001E-2</v>
      </c>
      <c r="CL30" s="910">
        <f t="shared" si="5"/>
        <v>2244938333643.0513</v>
      </c>
      <c r="CN30" s="75"/>
      <c r="CO30" s="968">
        <f>CO29+1</f>
        <v>2023</v>
      </c>
      <c r="CP30" s="305">
        <f>CP20</f>
        <v>10737418.24</v>
      </c>
      <c r="CQ30" s="986">
        <v>64</v>
      </c>
      <c r="CR30" s="411">
        <f t="shared" si="0"/>
        <v>687194767.36000001</v>
      </c>
      <c r="CS30" s="980">
        <v>3</v>
      </c>
      <c r="CT30" s="980"/>
      <c r="CU30" s="305">
        <f t="shared" si="1"/>
        <v>2061584302.0799999</v>
      </c>
      <c r="CV30" s="978" t="s">
        <v>1144</v>
      </c>
      <c r="CW30" s="305">
        <f t="shared" si="7"/>
        <v>2061584302.0799999</v>
      </c>
      <c r="CX30" s="691">
        <f t="shared" si="8"/>
        <v>5480378269.6960001</v>
      </c>
      <c r="CY30" s="893">
        <f t="shared" si="12"/>
        <v>0.125</v>
      </c>
      <c r="CZ30" s="973">
        <f t="shared" si="11"/>
        <v>685047283.71200001</v>
      </c>
      <c r="DA30" s="305">
        <f t="shared" si="13"/>
        <v>2293484710.1038718</v>
      </c>
      <c r="DB30" s="910">
        <f t="shared" si="9"/>
        <v>0</v>
      </c>
      <c r="DC30" s="981">
        <f>DC29+1</f>
        <v>2023</v>
      </c>
    </row>
    <row r="31" spans="1:109" x14ac:dyDescent="0.3">
      <c r="I31" s="30"/>
      <c r="Q31" s="30"/>
      <c r="Y31" s="30"/>
      <c r="BT31" s="999" t="s">
        <v>1355</v>
      </c>
      <c r="BV31" s="77" t="s">
        <v>1382</v>
      </c>
      <c r="BW31" s="567">
        <f>BT34</f>
        <v>12.817869001640128</v>
      </c>
      <c r="BX31" s="76"/>
      <c r="BY31" s="76" t="s">
        <v>957</v>
      </c>
      <c r="CC31" s="473"/>
      <c r="CH31" s="982" t="s">
        <v>989</v>
      </c>
      <c r="CI31" s="983">
        <f t="shared" si="2"/>
        <v>2024</v>
      </c>
      <c r="CJ31" s="910">
        <f t="shared" si="3"/>
        <v>92042471679365.094</v>
      </c>
      <c r="CK31" s="985">
        <f t="shared" si="4"/>
        <v>2.5000000000000001E-2</v>
      </c>
      <c r="CL31" s="910">
        <f t="shared" si="5"/>
        <v>2301061791984.1274</v>
      </c>
      <c r="CM31" s="895" t="s">
        <v>1282</v>
      </c>
      <c r="CN31" s="75"/>
      <c r="CO31" s="968">
        <f t="shared" si="6"/>
        <v>2024</v>
      </c>
      <c r="CP31" s="305">
        <f>CP20</f>
        <v>10737418.24</v>
      </c>
      <c r="CQ31" s="986">
        <v>64</v>
      </c>
      <c r="CR31" s="411">
        <f t="shared" si="0"/>
        <v>687194767.36000001</v>
      </c>
      <c r="CS31" s="980">
        <v>8</v>
      </c>
      <c r="CT31" s="980"/>
      <c r="CU31" s="305">
        <f t="shared" si="1"/>
        <v>5497558138.8800001</v>
      </c>
      <c r="CV31" s="978" t="s">
        <v>1144</v>
      </c>
      <c r="CW31" s="305">
        <f t="shared" si="7"/>
        <v>5497558138.8800001</v>
      </c>
      <c r="CX31" s="691">
        <f t="shared" si="8"/>
        <v>10977936408.576</v>
      </c>
      <c r="CY31" s="893">
        <f t="shared" si="12"/>
        <v>0.125</v>
      </c>
      <c r="CZ31" s="995">
        <f t="shared" si="11"/>
        <v>1372242051.072</v>
      </c>
      <c r="DA31" s="305">
        <f t="shared" si="13"/>
        <v>2293484710.1038718</v>
      </c>
      <c r="DB31" s="910">
        <f t="shared" si="9"/>
        <v>0</v>
      </c>
      <c r="DC31" s="981">
        <f t="shared" si="10"/>
        <v>2024</v>
      </c>
      <c r="DD31" s="1000">
        <v>0.125</v>
      </c>
      <c r="DE31" s="1001">
        <f>CZ31*CY31</f>
        <v>171530256.384</v>
      </c>
    </row>
    <row r="32" spans="1:109" x14ac:dyDescent="0.3">
      <c r="A32" s="690"/>
      <c r="B32" s="690"/>
      <c r="I32" s="690"/>
      <c r="BS32" s="1150" t="s">
        <v>306</v>
      </c>
      <c r="BT32" s="182">
        <f>E8</f>
        <v>19608462493.550743</v>
      </c>
      <c r="BV32" s="736">
        <f>BT47</f>
        <v>19608462493.550743</v>
      </c>
      <c r="BW32" s="568">
        <f>BV32*BT34</f>
        <v>251338703565.90717</v>
      </c>
      <c r="BX32" s="208">
        <f>BU49</f>
        <v>0.66163000000000005</v>
      </c>
      <c r="BY32" s="691">
        <f>BW32*BX32</f>
        <v>166293226440.31116</v>
      </c>
      <c r="CC32" s="473"/>
      <c r="CH32" s="332" t="s">
        <v>989</v>
      </c>
      <c r="CI32" s="953">
        <f>CI31+1</f>
        <v>2025</v>
      </c>
      <c r="CJ32" s="691">
        <f>CJ31+CL31</f>
        <v>94343533471349.219</v>
      </c>
      <c r="CK32" s="894">
        <f>CK31</f>
        <v>2.5000000000000001E-2</v>
      </c>
      <c r="CL32" s="691">
        <f t="shared" si="5"/>
        <v>2358588336783.7305</v>
      </c>
      <c r="CN32" s="332" t="s">
        <v>963</v>
      </c>
      <c r="CO32" s="953">
        <f>CO31+1</f>
        <v>2025</v>
      </c>
      <c r="CP32" s="691">
        <f>CP20</f>
        <v>10737418.24</v>
      </c>
      <c r="CQ32" s="987">
        <v>64</v>
      </c>
      <c r="CR32" s="875">
        <f t="shared" si="0"/>
        <v>687194767.36000001</v>
      </c>
      <c r="CS32" s="977"/>
      <c r="CT32" s="977"/>
      <c r="CU32" s="691">
        <f t="shared" si="1"/>
        <v>0</v>
      </c>
      <c r="CW32" s="691">
        <f t="shared" si="7"/>
        <v>0</v>
      </c>
      <c r="CX32" s="691">
        <f t="shared" si="8"/>
        <v>10977936408.576</v>
      </c>
      <c r="CY32" s="894">
        <f>CY31</f>
        <v>0.125</v>
      </c>
      <c r="CZ32" s="975">
        <f t="shared" si="11"/>
        <v>1372242051.072</v>
      </c>
      <c r="DA32" s="691">
        <f t="shared" si="13"/>
        <v>2293484710.1038718</v>
      </c>
      <c r="DB32" s="183">
        <f t="shared" si="9"/>
        <v>0</v>
      </c>
      <c r="DC32" s="949">
        <f>DC31+1</f>
        <v>2025</v>
      </c>
    </row>
    <row r="33" spans="1:107" x14ac:dyDescent="0.3">
      <c r="I33" s="690"/>
      <c r="J33" s="18"/>
      <c r="K33" s="690"/>
      <c r="BS33" s="122" t="s">
        <v>307</v>
      </c>
      <c r="BT33" s="183">
        <f>BT29+BT5</f>
        <v>251338703565.90717</v>
      </c>
      <c r="BW33" s="248"/>
      <c r="BY33" s="181"/>
      <c r="CC33" s="473"/>
      <c r="CH33" s="332" t="s">
        <v>989</v>
      </c>
      <c r="CI33" s="953">
        <f t="shared" si="2"/>
        <v>2026</v>
      </c>
      <c r="CJ33" s="691">
        <f t="shared" si="3"/>
        <v>96702121808132.953</v>
      </c>
      <c r="CK33" s="894">
        <f t="shared" si="4"/>
        <v>2.5000000000000001E-2</v>
      </c>
      <c r="CL33" s="691">
        <f t="shared" si="5"/>
        <v>2417553045203.3237</v>
      </c>
      <c r="CN33" s="332"/>
      <c r="CO33" s="953">
        <f t="shared" si="6"/>
        <v>2026</v>
      </c>
      <c r="CP33" s="691">
        <f>CP20</f>
        <v>10737418.24</v>
      </c>
      <c r="CQ33" s="987">
        <v>64</v>
      </c>
      <c r="CR33" s="875">
        <f t="shared" si="0"/>
        <v>687194767.36000001</v>
      </c>
      <c r="CS33" s="977"/>
      <c r="CT33" s="977"/>
      <c r="CU33" s="691">
        <f t="shared" si="1"/>
        <v>0</v>
      </c>
      <c r="CW33" s="691">
        <f t="shared" si="7"/>
        <v>0</v>
      </c>
      <c r="CX33" s="691">
        <f t="shared" si="8"/>
        <v>10977936408.576</v>
      </c>
      <c r="CY33" s="894">
        <f>CY32</f>
        <v>0.125</v>
      </c>
      <c r="CZ33" s="975">
        <f t="shared" si="11"/>
        <v>1372242051.072</v>
      </c>
      <c r="DA33" s="691">
        <f t="shared" si="13"/>
        <v>2293484710.1038718</v>
      </c>
      <c r="DB33" s="183">
        <f t="shared" si="9"/>
        <v>0</v>
      </c>
      <c r="DC33" s="949">
        <f t="shared" si="10"/>
        <v>2026</v>
      </c>
    </row>
    <row r="34" spans="1:107" x14ac:dyDescent="0.3">
      <c r="A34" s="690"/>
      <c r="B34" s="690"/>
      <c r="C34" s="900" t="s">
        <v>1036</v>
      </c>
      <c r="D34" s="901" t="s">
        <v>1287</v>
      </c>
      <c r="E34" s="4"/>
      <c r="F34" s="4"/>
      <c r="G34" s="5"/>
      <c r="BS34" s="1150" t="s">
        <v>310</v>
      </c>
      <c r="BT34" s="184">
        <f>BT33/BT32</f>
        <v>12.817869001640128</v>
      </c>
      <c r="BU34" s="239"/>
      <c r="BV34" s="239" t="s">
        <v>974</v>
      </c>
      <c r="BW34" s="248" t="s">
        <v>1384</v>
      </c>
      <c r="BX34" s="239"/>
      <c r="BY34" s="181"/>
      <c r="CC34" s="473"/>
      <c r="CH34" s="332" t="s">
        <v>989</v>
      </c>
      <c r="CI34" s="953">
        <f t="shared" si="2"/>
        <v>2027</v>
      </c>
      <c r="CJ34" s="691">
        <f t="shared" si="3"/>
        <v>99119674853336.281</v>
      </c>
      <c r="CK34" s="894">
        <f t="shared" si="4"/>
        <v>2.5000000000000001E-2</v>
      </c>
      <c r="CL34" s="691">
        <f t="shared" si="5"/>
        <v>2477991871333.4072</v>
      </c>
      <c r="CN34" s="76"/>
      <c r="CO34" s="953">
        <f t="shared" si="6"/>
        <v>2027</v>
      </c>
      <c r="CP34" s="691">
        <f>CP20</f>
        <v>10737418.24</v>
      </c>
      <c r="CQ34" s="987">
        <v>64</v>
      </c>
      <c r="CR34" s="875">
        <f t="shared" si="0"/>
        <v>687194767.36000001</v>
      </c>
      <c r="CS34" s="977"/>
      <c r="CT34" s="977"/>
      <c r="CU34" s="691">
        <f t="shared" si="1"/>
        <v>0</v>
      </c>
      <c r="CW34" s="691">
        <f t="shared" si="7"/>
        <v>0</v>
      </c>
      <c r="CX34" s="691">
        <f t="shared" si="8"/>
        <v>10977936408.576</v>
      </c>
      <c r="CY34" s="894">
        <f t="shared" ref="CY34:CY55" si="14">CY33</f>
        <v>0.125</v>
      </c>
      <c r="CZ34" s="975">
        <f t="shared" si="11"/>
        <v>1372242051.072</v>
      </c>
      <c r="DA34" s="691">
        <f t="shared" si="13"/>
        <v>2293484710.1038718</v>
      </c>
      <c r="DB34" s="183">
        <f t="shared" si="9"/>
        <v>0</v>
      </c>
      <c r="DC34" s="949">
        <f t="shared" si="10"/>
        <v>2027</v>
      </c>
    </row>
    <row r="35" spans="1:107" x14ac:dyDescent="0.3">
      <c r="A35" s="690"/>
      <c r="B35" s="690"/>
      <c r="C35" s="122" t="s">
        <v>732</v>
      </c>
      <c r="D35" s="287" t="s">
        <v>1288</v>
      </c>
      <c r="E35" s="7" t="s">
        <v>1289</v>
      </c>
      <c r="F35" s="7"/>
      <c r="G35" s="8"/>
      <c r="BR35" s="38"/>
      <c r="BS35" s="1150" t="s">
        <v>785</v>
      </c>
      <c r="BT35" s="472"/>
      <c r="BU35" s="473"/>
      <c r="BV35" s="472"/>
      <c r="BW35" s="472">
        <f>BV35-BT35</f>
        <v>0</v>
      </c>
      <c r="BX35" s="473"/>
      <c r="BY35" s="563"/>
      <c r="BZ35" s="473"/>
      <c r="CA35" s="473"/>
      <c r="CB35" s="473"/>
      <c r="CC35" s="473"/>
      <c r="CD35" s="88"/>
      <c r="CE35" s="88"/>
      <c r="CF35" s="88"/>
      <c r="CG35" s="88"/>
      <c r="CH35" s="332" t="s">
        <v>989</v>
      </c>
      <c r="CI35" s="953">
        <f t="shared" si="2"/>
        <v>2028</v>
      </c>
      <c r="CJ35" s="691">
        <f t="shared" si="3"/>
        <v>101597666724669.69</v>
      </c>
      <c r="CK35" s="894">
        <f t="shared" si="4"/>
        <v>2.5000000000000001E-2</v>
      </c>
      <c r="CL35" s="691">
        <f t="shared" si="5"/>
        <v>2539941668116.7422</v>
      </c>
      <c r="CN35" s="76"/>
      <c r="CO35" s="953">
        <f t="shared" si="6"/>
        <v>2028</v>
      </c>
      <c r="CP35" s="691">
        <f>CP20</f>
        <v>10737418.24</v>
      </c>
      <c r="CQ35" s="987">
        <v>64</v>
      </c>
      <c r="CR35" s="875">
        <f t="shared" si="0"/>
        <v>687194767.36000001</v>
      </c>
      <c r="CS35" s="977"/>
      <c r="CT35" s="977"/>
      <c r="CU35" s="691">
        <f t="shared" si="1"/>
        <v>0</v>
      </c>
      <c r="CW35" s="691">
        <f t="shared" si="7"/>
        <v>0</v>
      </c>
      <c r="CX35" s="691">
        <f t="shared" si="8"/>
        <v>10977936408.576</v>
      </c>
      <c r="CY35" s="894">
        <f t="shared" si="14"/>
        <v>0.125</v>
      </c>
      <c r="CZ35" s="975">
        <f t="shared" si="11"/>
        <v>1372242051.072</v>
      </c>
      <c r="DA35" s="691">
        <f t="shared" si="13"/>
        <v>2293484710.1038718</v>
      </c>
      <c r="DB35" s="183">
        <f t="shared" si="9"/>
        <v>0</v>
      </c>
      <c r="DC35" s="949">
        <f t="shared" si="10"/>
        <v>2028</v>
      </c>
    </row>
    <row r="36" spans="1:107" x14ac:dyDescent="0.3">
      <c r="A36" s="690"/>
      <c r="B36" s="690"/>
      <c r="C36" s="1151">
        <v>32</v>
      </c>
      <c r="D36" s="411">
        <f>'POP Dimensions'!J15</f>
        <v>21474836.48</v>
      </c>
      <c r="E36" s="411">
        <f>C36*D36</f>
        <v>687194767.36000001</v>
      </c>
      <c r="F36" s="896"/>
      <c r="G36" s="902" t="s">
        <v>732</v>
      </c>
      <c r="BR36" s="38"/>
      <c r="BS36" s="1206" t="s">
        <v>1445</v>
      </c>
      <c r="BT36" s="1207">
        <f>'POP Dimensions'!L16*150%</f>
        <v>515396075.51999998</v>
      </c>
      <c r="BU36" s="88"/>
      <c r="BV36" s="511"/>
      <c r="BW36" s="511"/>
      <c r="BX36" s="88"/>
      <c r="BY36" s="181"/>
      <c r="BZ36" s="88"/>
      <c r="CA36" s="88"/>
      <c r="CB36" s="616">
        <f>BY47*CD47</f>
        <v>920424716793.65088</v>
      </c>
      <c r="CC36" s="617" t="s">
        <v>778</v>
      </c>
      <c r="CD36" s="88"/>
      <c r="CE36" s="88"/>
      <c r="CF36" s="88"/>
      <c r="CG36" s="88"/>
      <c r="CH36" s="332" t="s">
        <v>989</v>
      </c>
      <c r="CI36" s="953">
        <f>CI35+1</f>
        <v>2029</v>
      </c>
      <c r="CJ36" s="691">
        <f>CJ35+CL35</f>
        <v>104137608392786.44</v>
      </c>
      <c r="CK36" s="894">
        <f>CK35</f>
        <v>2.5000000000000001E-2</v>
      </c>
      <c r="CL36" s="691">
        <f>CJ36*CK36</f>
        <v>2603440209819.6611</v>
      </c>
      <c r="CN36" s="76"/>
      <c r="CO36" s="953">
        <f>CO35+1</f>
        <v>2029</v>
      </c>
      <c r="CP36" s="691">
        <f>CP20</f>
        <v>10737418.24</v>
      </c>
      <c r="CQ36" s="987">
        <v>64</v>
      </c>
      <c r="CR36" s="875">
        <f>CQ36*CP36</f>
        <v>687194767.36000001</v>
      </c>
      <c r="CS36" s="977"/>
      <c r="CT36" s="977"/>
      <c r="CU36" s="691">
        <f>CR36*CS36</f>
        <v>0</v>
      </c>
      <c r="CW36" s="691">
        <f t="shared" si="7"/>
        <v>0</v>
      </c>
      <c r="CX36" s="691">
        <f>CW36+CX35-DB36</f>
        <v>10977936408.576</v>
      </c>
      <c r="CY36" s="894">
        <f t="shared" si="14"/>
        <v>0.125</v>
      </c>
      <c r="CZ36" s="975">
        <f t="shared" si="11"/>
        <v>1372242051.072</v>
      </c>
      <c r="DA36" s="691">
        <f t="shared" si="13"/>
        <v>2293484710.1038718</v>
      </c>
      <c r="DB36" s="183">
        <f>CR36*CT36</f>
        <v>0</v>
      </c>
      <c r="DC36" s="949">
        <f t="shared" si="10"/>
        <v>2029</v>
      </c>
    </row>
    <row r="37" spans="1:107" x14ac:dyDescent="0.3">
      <c r="A37" s="690"/>
      <c r="B37" s="690"/>
      <c r="C37" s="1152">
        <f>C36*2</f>
        <v>64</v>
      </c>
      <c r="D37" s="897">
        <f>D36</f>
        <v>21474836.48</v>
      </c>
      <c r="E37" s="897">
        <f t="shared" ref="E37:E43" si="15">C37*D37</f>
        <v>1374389534.72</v>
      </c>
      <c r="F37" s="874"/>
      <c r="G37" s="903" t="s">
        <v>732</v>
      </c>
      <c r="BR37" s="38"/>
      <c r="BS37" s="1206" t="s">
        <v>1444</v>
      </c>
      <c r="BT37" s="1207">
        <f>'POP Dimensions'!H17*150%</f>
        <v>1030792151.04</v>
      </c>
      <c r="BU37" s="88"/>
      <c r="BV37" s="511"/>
      <c r="BW37" s="511"/>
      <c r="BX37" s="88"/>
      <c r="BY37" s="181"/>
      <c r="BZ37" s="88"/>
      <c r="CA37" s="88"/>
      <c r="CB37" s="616"/>
      <c r="CC37" s="617"/>
      <c r="CD37" s="88"/>
      <c r="CE37" s="88"/>
      <c r="CF37" s="88"/>
      <c r="CG37" s="88"/>
      <c r="CH37" s="332" t="s">
        <v>989</v>
      </c>
      <c r="CI37" s="953">
        <f>CI36+1</f>
        <v>2030</v>
      </c>
      <c r="CJ37" s="691">
        <f>CJ36+CL36</f>
        <v>106741048602606.09</v>
      </c>
      <c r="CK37" s="894">
        <f>CK36</f>
        <v>2.5000000000000001E-2</v>
      </c>
      <c r="CL37" s="691">
        <f>CJ37*CK37</f>
        <v>2668526215065.1523</v>
      </c>
      <c r="CN37" s="76"/>
      <c r="CO37" s="953">
        <f>CO36+1</f>
        <v>2030</v>
      </c>
      <c r="CP37" s="691">
        <f>CP20</f>
        <v>10737418.24</v>
      </c>
      <c r="CQ37" s="987">
        <v>64</v>
      </c>
      <c r="CR37" s="875">
        <f t="shared" ref="CR37:CR55" si="16">CQ37*CP37</f>
        <v>687194767.36000001</v>
      </c>
      <c r="CS37" s="977"/>
      <c r="CT37" s="977"/>
      <c r="CU37" s="691">
        <f t="shared" ref="CU37:CU55" si="17">CR37*CS37</f>
        <v>0</v>
      </c>
      <c r="CW37" s="691">
        <f t="shared" si="7"/>
        <v>0</v>
      </c>
      <c r="CX37" s="691">
        <f>CW37+CX36-DB37</f>
        <v>10977936408.576</v>
      </c>
      <c r="CY37" s="894">
        <f t="shared" si="14"/>
        <v>0.125</v>
      </c>
      <c r="CZ37" s="975">
        <f t="shared" si="11"/>
        <v>1372242051.072</v>
      </c>
      <c r="DA37" s="691">
        <f t="shared" si="13"/>
        <v>2293484710.1038718</v>
      </c>
      <c r="DB37" s="183">
        <f>CR37*CT37</f>
        <v>0</v>
      </c>
      <c r="DC37" s="949">
        <f t="shared" si="10"/>
        <v>2030</v>
      </c>
    </row>
    <row r="38" spans="1:107" x14ac:dyDescent="0.3">
      <c r="A38" s="690"/>
      <c r="B38" s="690"/>
      <c r="C38" s="1121">
        <f>C37*2</f>
        <v>128</v>
      </c>
      <c r="D38" s="875">
        <f t="shared" ref="D38:D43" si="18">D37</f>
        <v>21474836.48</v>
      </c>
      <c r="E38" s="875">
        <f t="shared" si="15"/>
        <v>2748779069.4400001</v>
      </c>
      <c r="F38" s="410"/>
      <c r="G38" s="126" t="s">
        <v>732</v>
      </c>
      <c r="BO38" s="1162" t="s">
        <v>1435</v>
      </c>
      <c r="BP38" s="1160"/>
      <c r="BQ38" s="1160"/>
      <c r="BR38" s="1160"/>
      <c r="BS38" s="1161" t="s">
        <v>1284</v>
      </c>
      <c r="BT38" s="1164">
        <f>'POP Dimensions'!L16*150%</f>
        <v>515396075.51999998</v>
      </c>
      <c r="BU38" s="88"/>
      <c r="BV38" s="88"/>
      <c r="BW38" s="253"/>
      <c r="BX38" s="88"/>
      <c r="BY38" s="181"/>
      <c r="CH38" s="332" t="s">
        <v>989</v>
      </c>
      <c r="CI38" s="953">
        <f>CI37+1</f>
        <v>2031</v>
      </c>
      <c r="CJ38" s="691">
        <f>CJ37+CL37</f>
        <v>109409574817671.25</v>
      </c>
      <c r="CK38" s="894">
        <f>CK37</f>
        <v>2.5000000000000001E-2</v>
      </c>
      <c r="CL38" s="691">
        <f>CJ38*CK38</f>
        <v>2735239370441.7813</v>
      </c>
      <c r="CN38" s="76"/>
      <c r="CO38" s="953">
        <f t="shared" ref="CO38:CO55" si="19">CO37+1</f>
        <v>2031</v>
      </c>
      <c r="CP38" s="691">
        <f>CP20</f>
        <v>10737418.24</v>
      </c>
      <c r="CQ38" s="987">
        <v>64</v>
      </c>
      <c r="CR38" s="875">
        <f t="shared" si="16"/>
        <v>687194767.36000001</v>
      </c>
      <c r="CS38" s="977"/>
      <c r="CT38" s="977"/>
      <c r="CU38" s="691">
        <f t="shared" si="17"/>
        <v>0</v>
      </c>
      <c r="CW38" s="691">
        <f t="shared" si="7"/>
        <v>0</v>
      </c>
      <c r="CX38" s="691">
        <f t="shared" ref="CX38:CX55" si="20">CW38+CX37-DB38</f>
        <v>10977936408.576</v>
      </c>
      <c r="CY38" s="894">
        <f t="shared" si="14"/>
        <v>0.125</v>
      </c>
      <c r="CZ38" s="975">
        <f t="shared" si="11"/>
        <v>1372242051.072</v>
      </c>
      <c r="DA38" s="691">
        <f t="shared" si="13"/>
        <v>2293484710.1038718</v>
      </c>
      <c r="DB38" s="183">
        <f t="shared" ref="DB38:DB55" si="21">CR38*CT38</f>
        <v>0</v>
      </c>
      <c r="DC38" s="949">
        <f t="shared" si="10"/>
        <v>2031</v>
      </c>
    </row>
    <row r="39" spans="1:107" x14ac:dyDescent="0.3">
      <c r="A39" s="690"/>
      <c r="B39" s="690"/>
      <c r="C39" s="1151">
        <f>C38*2</f>
        <v>256</v>
      </c>
      <c r="D39" s="411">
        <f t="shared" si="18"/>
        <v>21474836.48</v>
      </c>
      <c r="E39" s="411">
        <f t="shared" si="15"/>
        <v>5497558138.8800001</v>
      </c>
      <c r="F39" s="896"/>
      <c r="G39" s="902" t="s">
        <v>732</v>
      </c>
      <c r="BO39" s="1163" t="s">
        <v>1436</v>
      </c>
      <c r="BS39" s="1155" t="s">
        <v>1279</v>
      </c>
      <c r="BT39" s="1164">
        <v>-8400000000</v>
      </c>
      <c r="BU39" s="208">
        <v>0.05</v>
      </c>
      <c r="BV39" s="76">
        <f>BT49*BU39</f>
        <v>8314661322.0155582</v>
      </c>
      <c r="BW39" s="253" t="s">
        <v>1465</v>
      </c>
      <c r="BX39" s="88"/>
      <c r="BY39" s="181"/>
      <c r="CB39" s="616"/>
      <c r="CC39" s="617"/>
      <c r="CH39" s="332" t="s">
        <v>989</v>
      </c>
      <c r="CI39" s="953">
        <f>CI38+1</f>
        <v>2032</v>
      </c>
      <c r="CJ39" s="691">
        <f>CJ38+CL38</f>
        <v>112144814188113.03</v>
      </c>
      <c r="CK39" s="894">
        <f>CK38</f>
        <v>2.5000000000000001E-2</v>
      </c>
      <c r="CL39" s="691">
        <f>CJ39*CK39</f>
        <v>2803620354702.8262</v>
      </c>
      <c r="CM39" s="895" t="s">
        <v>1281</v>
      </c>
      <c r="CN39" s="76"/>
      <c r="CO39" s="953">
        <f t="shared" si="19"/>
        <v>2032</v>
      </c>
      <c r="CP39" s="691">
        <f t="shared" ref="CP39:CP55" si="22">CP29</f>
        <v>10737418.24</v>
      </c>
      <c r="CQ39" s="987">
        <v>64</v>
      </c>
      <c r="CR39" s="875">
        <f t="shared" si="16"/>
        <v>687194767.36000001</v>
      </c>
      <c r="CS39" s="977"/>
      <c r="CT39" s="977"/>
      <c r="CU39" s="691">
        <f t="shared" si="17"/>
        <v>0</v>
      </c>
      <c r="CW39" s="691">
        <f t="shared" si="7"/>
        <v>0</v>
      </c>
      <c r="CX39" s="691">
        <f t="shared" si="20"/>
        <v>10977936408.576</v>
      </c>
      <c r="CY39" s="894">
        <f t="shared" si="14"/>
        <v>0.125</v>
      </c>
      <c r="CZ39" s="975">
        <f t="shared" si="11"/>
        <v>1372242051.072</v>
      </c>
      <c r="DA39" s="691">
        <f t="shared" si="13"/>
        <v>2293484710.1038718</v>
      </c>
      <c r="DB39" s="183">
        <f t="shared" si="21"/>
        <v>0</v>
      </c>
      <c r="DC39" s="949">
        <f t="shared" si="10"/>
        <v>2032</v>
      </c>
    </row>
    <row r="40" spans="1:107" x14ac:dyDescent="0.3">
      <c r="A40" s="690"/>
      <c r="B40" s="690"/>
      <c r="C40" s="1152">
        <f t="shared" ref="C40:C43" si="23">C39*2</f>
        <v>512</v>
      </c>
      <c r="D40" s="897">
        <f t="shared" si="18"/>
        <v>21474836.48</v>
      </c>
      <c r="E40" s="897">
        <f t="shared" si="15"/>
        <v>10995116277.76</v>
      </c>
      <c r="F40" s="874"/>
      <c r="G40" s="903" t="s">
        <v>732</v>
      </c>
      <c r="BS40" s="1156" t="s">
        <v>1277</v>
      </c>
      <c r="BT40" s="1164">
        <f>'POP Dimensions'!J17</f>
        <v>1374389534.72</v>
      </c>
      <c r="BU40" s="88"/>
      <c r="BV40" s="253"/>
      <c r="BW40" s="253"/>
      <c r="BX40" s="253"/>
      <c r="BY40" s="181"/>
      <c r="CB40" s="616"/>
      <c r="CC40" s="617"/>
      <c r="CH40" s="332" t="s">
        <v>989</v>
      </c>
      <c r="CI40" s="953">
        <f t="shared" ref="CI40:CI55" si="24">CI39+1</f>
        <v>2033</v>
      </c>
      <c r="CJ40" s="691">
        <f t="shared" ref="CJ40:CJ55" si="25">CJ39+CL39</f>
        <v>114948434542815.86</v>
      </c>
      <c r="CK40" s="894">
        <f t="shared" ref="CK40:CK55" si="26">CK39</f>
        <v>2.5000000000000001E-2</v>
      </c>
      <c r="CL40" s="691">
        <f t="shared" ref="CL40:CL55" si="27">CJ40*CK40</f>
        <v>2873710863570.3965</v>
      </c>
      <c r="CN40" s="76"/>
      <c r="CO40" s="953">
        <f t="shared" si="19"/>
        <v>2033</v>
      </c>
      <c r="CP40" s="691">
        <f t="shared" si="22"/>
        <v>10737418.24</v>
      </c>
      <c r="CQ40" s="987">
        <v>64</v>
      </c>
      <c r="CR40" s="875">
        <f t="shared" si="16"/>
        <v>687194767.36000001</v>
      </c>
      <c r="CS40" s="969"/>
      <c r="CT40" s="977"/>
      <c r="CU40" s="691">
        <f t="shared" si="17"/>
        <v>0</v>
      </c>
      <c r="CW40" s="691">
        <f t="shared" si="7"/>
        <v>0</v>
      </c>
      <c r="CX40" s="691">
        <f t="shared" si="20"/>
        <v>10977936408.576</v>
      </c>
      <c r="CY40" s="894">
        <f t="shared" si="14"/>
        <v>0.125</v>
      </c>
      <c r="CZ40" s="975">
        <f t="shared" si="11"/>
        <v>1372242051.072</v>
      </c>
      <c r="DA40" s="691">
        <f t="shared" si="13"/>
        <v>2293484710.1038718</v>
      </c>
      <c r="DB40" s="183">
        <f t="shared" si="21"/>
        <v>0</v>
      </c>
      <c r="DC40" s="949">
        <f t="shared" si="10"/>
        <v>2033</v>
      </c>
    </row>
    <row r="41" spans="1:107" x14ac:dyDescent="0.3">
      <c r="A41" s="690"/>
      <c r="B41" s="690"/>
      <c r="C41" s="1121">
        <f t="shared" si="23"/>
        <v>1024</v>
      </c>
      <c r="D41" s="875">
        <f t="shared" si="18"/>
        <v>21474836.48</v>
      </c>
      <c r="E41" s="875">
        <f t="shared" si="15"/>
        <v>21990232555.52</v>
      </c>
      <c r="F41" s="410"/>
      <c r="G41" s="126" t="s">
        <v>732</v>
      </c>
      <c r="BQ41" s="173" t="s">
        <v>1433</v>
      </c>
      <c r="BR41" s="1158"/>
      <c r="BS41" s="1159" t="s">
        <v>1285</v>
      </c>
      <c r="BT41" s="719">
        <f>'POP Dimensions'!H17*125%</f>
        <v>858993459.20000005</v>
      </c>
      <c r="BU41" s="88"/>
      <c r="BV41" s="253"/>
      <c r="BW41" s="253"/>
      <c r="BX41" s="1215"/>
      <c r="BY41" s="181"/>
      <c r="CB41" s="12" t="s">
        <v>979</v>
      </c>
      <c r="CH41" s="332" t="s">
        <v>989</v>
      </c>
      <c r="CI41" s="953">
        <f t="shared" si="24"/>
        <v>2034</v>
      </c>
      <c r="CJ41" s="691">
        <f t="shared" si="25"/>
        <v>117822145406386.25</v>
      </c>
      <c r="CK41" s="894">
        <f t="shared" si="26"/>
        <v>2.5000000000000001E-2</v>
      </c>
      <c r="CL41" s="691">
        <f t="shared" si="27"/>
        <v>2945553635159.6563</v>
      </c>
      <c r="CN41" s="76"/>
      <c r="CO41" s="953">
        <f t="shared" si="19"/>
        <v>2034</v>
      </c>
      <c r="CP41" s="691">
        <f t="shared" si="22"/>
        <v>10737418.24</v>
      </c>
      <c r="CQ41" s="987">
        <v>64</v>
      </c>
      <c r="CR41" s="875">
        <f t="shared" si="16"/>
        <v>687194767.36000001</v>
      </c>
      <c r="CS41" s="969"/>
      <c r="CT41" s="977"/>
      <c r="CU41" s="691">
        <f t="shared" si="17"/>
        <v>0</v>
      </c>
      <c r="CW41" s="691">
        <f t="shared" si="7"/>
        <v>0</v>
      </c>
      <c r="CX41" s="691">
        <f t="shared" si="20"/>
        <v>10977936408.576</v>
      </c>
      <c r="CY41" s="894">
        <f t="shared" si="14"/>
        <v>0.125</v>
      </c>
      <c r="CZ41" s="975">
        <f t="shared" si="11"/>
        <v>1372242051.072</v>
      </c>
      <c r="DA41" s="691">
        <f t="shared" si="13"/>
        <v>2293484710.1038718</v>
      </c>
      <c r="DB41" s="183">
        <f t="shared" si="21"/>
        <v>0</v>
      </c>
      <c r="DC41" s="949">
        <f t="shared" si="10"/>
        <v>2034</v>
      </c>
    </row>
    <row r="42" spans="1:107" x14ac:dyDescent="0.3">
      <c r="A42" s="690"/>
      <c r="B42" s="690"/>
      <c r="C42" s="1153">
        <f t="shared" si="23"/>
        <v>2048</v>
      </c>
      <c r="D42" s="899">
        <f t="shared" si="18"/>
        <v>21474836.48</v>
      </c>
      <c r="E42" s="899">
        <f t="shared" si="15"/>
        <v>43980465111.040001</v>
      </c>
      <c r="F42" s="898"/>
      <c r="G42" s="905" t="s">
        <v>732</v>
      </c>
      <c r="BQ42" s="618" t="s">
        <v>1434</v>
      </c>
      <c r="BS42" s="1155" t="s">
        <v>1278</v>
      </c>
      <c r="BT42" s="1164">
        <f>'Network Cities'!S37*4</f>
        <v>11775000002</v>
      </c>
      <c r="BU42" s="88"/>
      <c r="BV42" s="253"/>
      <c r="BW42" s="253"/>
      <c r="BX42" s="1215"/>
      <c r="BY42" s="181"/>
      <c r="CB42" s="12"/>
      <c r="CH42" s="332" t="s">
        <v>989</v>
      </c>
      <c r="CI42" s="953">
        <f t="shared" si="24"/>
        <v>2035</v>
      </c>
      <c r="CJ42" s="691">
        <f t="shared" si="25"/>
        <v>120767699041545.91</v>
      </c>
      <c r="CK42" s="894">
        <f t="shared" si="26"/>
        <v>2.5000000000000001E-2</v>
      </c>
      <c r="CL42" s="691">
        <f t="shared" si="27"/>
        <v>3019192476038.6479</v>
      </c>
      <c r="CN42" s="76"/>
      <c r="CO42" s="953">
        <f t="shared" si="19"/>
        <v>2035</v>
      </c>
      <c r="CP42" s="691">
        <f t="shared" si="22"/>
        <v>10737418.24</v>
      </c>
      <c r="CQ42" s="987">
        <v>64</v>
      </c>
      <c r="CR42" s="875">
        <f t="shared" si="16"/>
        <v>687194767.36000001</v>
      </c>
      <c r="CS42" s="969"/>
      <c r="CT42" s="977"/>
      <c r="CU42" s="691">
        <f t="shared" si="17"/>
        <v>0</v>
      </c>
      <c r="CW42" s="691">
        <f t="shared" si="7"/>
        <v>0</v>
      </c>
      <c r="CX42" s="691">
        <f t="shared" si="20"/>
        <v>10977936408.576</v>
      </c>
      <c r="CY42" s="894">
        <f t="shared" si="14"/>
        <v>0.125</v>
      </c>
      <c r="CZ42" s="975">
        <f t="shared" si="11"/>
        <v>1372242051.072</v>
      </c>
      <c r="DA42" s="691">
        <f t="shared" si="13"/>
        <v>2293484710.1038718</v>
      </c>
      <c r="DB42" s="183">
        <f t="shared" si="21"/>
        <v>0</v>
      </c>
      <c r="DC42" s="949">
        <f t="shared" si="10"/>
        <v>2035</v>
      </c>
    </row>
    <row r="43" spans="1:107" x14ac:dyDescent="0.3">
      <c r="A43" s="690"/>
      <c r="B43" s="690"/>
      <c r="C43" s="1154">
        <f t="shared" si="23"/>
        <v>4096</v>
      </c>
      <c r="D43" s="906">
        <f t="shared" si="18"/>
        <v>21474836.48</v>
      </c>
      <c r="E43" s="906">
        <f t="shared" si="15"/>
        <v>87960930222.080002</v>
      </c>
      <c r="F43" s="907"/>
      <c r="G43" s="908" t="s">
        <v>732</v>
      </c>
      <c r="BS43" s="1155" t="s">
        <v>1161</v>
      </c>
      <c r="BT43" s="1164">
        <f>'POP Dimensions'!H17*200%</f>
        <v>1374389534.72</v>
      </c>
      <c r="BU43" s="88"/>
      <c r="BV43" s="600"/>
      <c r="BW43" s="253"/>
      <c r="BX43" s="253"/>
      <c r="BY43" s="181"/>
      <c r="CB43" s="12"/>
      <c r="CH43" s="332" t="s">
        <v>989</v>
      </c>
      <c r="CI43" s="953">
        <f t="shared" si="24"/>
        <v>2036</v>
      </c>
      <c r="CJ43" s="691">
        <f t="shared" si="25"/>
        <v>123786891517584.55</v>
      </c>
      <c r="CK43" s="894">
        <f t="shared" si="26"/>
        <v>2.5000000000000001E-2</v>
      </c>
      <c r="CL43" s="691">
        <f t="shared" si="27"/>
        <v>3094672287939.6138</v>
      </c>
      <c r="CN43" s="76"/>
      <c r="CO43" s="953">
        <f t="shared" si="19"/>
        <v>2036</v>
      </c>
      <c r="CP43" s="691">
        <f t="shared" si="22"/>
        <v>10737418.24</v>
      </c>
      <c r="CQ43" s="987">
        <v>64</v>
      </c>
      <c r="CR43" s="875">
        <f t="shared" si="16"/>
        <v>687194767.36000001</v>
      </c>
      <c r="CS43" s="969"/>
      <c r="CT43" s="977"/>
      <c r="CU43" s="691">
        <f t="shared" si="17"/>
        <v>0</v>
      </c>
      <c r="CW43" s="691">
        <f t="shared" si="7"/>
        <v>0</v>
      </c>
      <c r="CX43" s="691">
        <f t="shared" si="20"/>
        <v>10977936408.576</v>
      </c>
      <c r="CY43" s="894">
        <f t="shared" si="14"/>
        <v>0.125</v>
      </c>
      <c r="CZ43" s="975">
        <f t="shared" si="11"/>
        <v>1372242051.072</v>
      </c>
      <c r="DA43" s="691">
        <f t="shared" si="13"/>
        <v>2293484710.1038718</v>
      </c>
      <c r="DB43" s="183">
        <f t="shared" si="21"/>
        <v>0</v>
      </c>
      <c r="DC43" s="949">
        <f t="shared" si="10"/>
        <v>2036</v>
      </c>
    </row>
    <row r="44" spans="1:107" x14ac:dyDescent="0.3">
      <c r="A44" s="690"/>
      <c r="B44" s="690"/>
      <c r="BQ44" s="1162" t="s">
        <v>1433</v>
      </c>
      <c r="BR44" s="1160"/>
      <c r="BS44" s="1161" t="s">
        <v>1249</v>
      </c>
      <c r="BT44" s="1164">
        <f>'POP Dimensions'!J17*150%</f>
        <v>2061584302.0799999</v>
      </c>
      <c r="BU44" s="88"/>
      <c r="BV44" s="253"/>
      <c r="BW44" s="254"/>
      <c r="BX44" s="253"/>
      <c r="BY44" s="181"/>
      <c r="CB44" s="12"/>
      <c r="CH44" s="332" t="s">
        <v>989</v>
      </c>
      <c r="CI44" s="953">
        <f t="shared" si="24"/>
        <v>2037</v>
      </c>
      <c r="CJ44" s="691">
        <f t="shared" si="25"/>
        <v>126881563805524.16</v>
      </c>
      <c r="CK44" s="894">
        <f t="shared" si="26"/>
        <v>2.5000000000000001E-2</v>
      </c>
      <c r="CL44" s="691">
        <f t="shared" si="27"/>
        <v>3172039095138.104</v>
      </c>
      <c r="CN44" s="76"/>
      <c r="CO44" s="953">
        <f t="shared" si="19"/>
        <v>2037</v>
      </c>
      <c r="CP44" s="691">
        <f t="shared" si="22"/>
        <v>10737418.24</v>
      </c>
      <c r="CQ44" s="987">
        <v>64</v>
      </c>
      <c r="CR44" s="875">
        <f t="shared" si="16"/>
        <v>687194767.36000001</v>
      </c>
      <c r="CS44" s="969"/>
      <c r="CT44" s="977"/>
      <c r="CU44" s="691">
        <f t="shared" si="17"/>
        <v>0</v>
      </c>
      <c r="CW44" s="691">
        <f t="shared" si="7"/>
        <v>0</v>
      </c>
      <c r="CX44" s="691">
        <f t="shared" si="20"/>
        <v>10977936408.576</v>
      </c>
      <c r="CY44" s="894">
        <f t="shared" si="14"/>
        <v>0.125</v>
      </c>
      <c r="CZ44" s="975">
        <f t="shared" si="11"/>
        <v>1372242051.072</v>
      </c>
      <c r="DA44" s="691">
        <f t="shared" si="13"/>
        <v>2293484710.1038718</v>
      </c>
      <c r="DB44" s="183">
        <f t="shared" si="21"/>
        <v>0</v>
      </c>
      <c r="DC44" s="949">
        <f t="shared" si="10"/>
        <v>2037</v>
      </c>
    </row>
    <row r="45" spans="1:107" x14ac:dyDescent="0.3">
      <c r="A45" s="690"/>
      <c r="B45" s="690"/>
      <c r="BQ45" s="1163" t="s">
        <v>1437</v>
      </c>
      <c r="BS45" s="1157" t="s">
        <v>148</v>
      </c>
      <c r="BT45" s="1164">
        <v>0</v>
      </c>
      <c r="BU45" s="88"/>
      <c r="BV45" s="254"/>
      <c r="BW45" s="254"/>
      <c r="BX45" s="253"/>
      <c r="BY45" s="181"/>
      <c r="CB45" s="12"/>
      <c r="CH45" s="332" t="s">
        <v>989</v>
      </c>
      <c r="CI45" s="953">
        <f t="shared" si="24"/>
        <v>2038</v>
      </c>
      <c r="CJ45" s="691">
        <f t="shared" si="25"/>
        <v>130053602900662.27</v>
      </c>
      <c r="CK45" s="894">
        <f t="shared" si="26"/>
        <v>2.5000000000000001E-2</v>
      </c>
      <c r="CL45" s="691">
        <f t="shared" si="27"/>
        <v>3251340072516.5566</v>
      </c>
      <c r="CN45" s="76"/>
      <c r="CO45" s="953">
        <f t="shared" si="19"/>
        <v>2038</v>
      </c>
      <c r="CP45" s="691">
        <f t="shared" si="22"/>
        <v>10737418.24</v>
      </c>
      <c r="CQ45" s="987">
        <v>64</v>
      </c>
      <c r="CR45" s="875">
        <f t="shared" si="16"/>
        <v>687194767.36000001</v>
      </c>
      <c r="CS45" s="969"/>
      <c r="CT45" s="977"/>
      <c r="CU45" s="691">
        <f t="shared" si="17"/>
        <v>0</v>
      </c>
      <c r="CW45" s="691">
        <f t="shared" si="7"/>
        <v>0</v>
      </c>
      <c r="CX45" s="691">
        <f t="shared" si="20"/>
        <v>10977936408.576</v>
      </c>
      <c r="CY45" s="894">
        <f t="shared" si="14"/>
        <v>0.125</v>
      </c>
      <c r="CZ45" s="975">
        <f t="shared" si="11"/>
        <v>1372242051.072</v>
      </c>
      <c r="DA45" s="691">
        <f t="shared" si="13"/>
        <v>2293484710.1038718</v>
      </c>
      <c r="DB45" s="183">
        <f t="shared" si="21"/>
        <v>0</v>
      </c>
      <c r="DC45" s="949">
        <f t="shared" si="10"/>
        <v>2038</v>
      </c>
    </row>
    <row r="46" spans="1:107" x14ac:dyDescent="0.3">
      <c r="A46" s="690"/>
      <c r="B46" s="690"/>
      <c r="BS46" s="1150" t="s">
        <v>948</v>
      </c>
      <c r="BT46" s="1216">
        <f>'2032 - ŔÉŚ 9. Ś-16'!BZ29</f>
        <v>8502521358.7507439</v>
      </c>
      <c r="BU46" s="88"/>
      <c r="BV46" s="253"/>
      <c r="BW46" s="253"/>
      <c r="BX46" s="253"/>
      <c r="BY46" s="181" t="s">
        <v>805</v>
      </c>
      <c r="BZ46" s="1" t="s">
        <v>998</v>
      </c>
      <c r="CB46" s="19">
        <v>0.01</v>
      </c>
      <c r="CH46" s="332" t="s">
        <v>989</v>
      </c>
      <c r="CI46" s="953">
        <f t="shared" si="24"/>
        <v>2039</v>
      </c>
      <c r="CJ46" s="691">
        <f t="shared" si="25"/>
        <v>133304942973178.83</v>
      </c>
      <c r="CK46" s="894">
        <f t="shared" si="26"/>
        <v>2.5000000000000001E-2</v>
      </c>
      <c r="CL46" s="691">
        <f t="shared" si="27"/>
        <v>3332623574329.4707</v>
      </c>
      <c r="CN46" s="76"/>
      <c r="CO46" s="953">
        <f t="shared" si="19"/>
        <v>2039</v>
      </c>
      <c r="CP46" s="691">
        <f t="shared" si="22"/>
        <v>10737418.24</v>
      </c>
      <c r="CQ46" s="987">
        <v>64</v>
      </c>
      <c r="CR46" s="875">
        <f t="shared" si="16"/>
        <v>687194767.36000001</v>
      </c>
      <c r="CS46" s="969"/>
      <c r="CT46" s="977"/>
      <c r="CU46" s="691">
        <f t="shared" si="17"/>
        <v>0</v>
      </c>
      <c r="CW46" s="691">
        <f t="shared" si="7"/>
        <v>0</v>
      </c>
      <c r="CX46" s="691">
        <f t="shared" si="20"/>
        <v>10977936408.576</v>
      </c>
      <c r="CY46" s="894">
        <f t="shared" si="14"/>
        <v>0.125</v>
      </c>
      <c r="CZ46" s="975">
        <f t="shared" si="11"/>
        <v>1372242051.072</v>
      </c>
      <c r="DA46" s="691">
        <f t="shared" si="13"/>
        <v>2293484710.1038718</v>
      </c>
      <c r="DB46" s="183">
        <f t="shared" si="21"/>
        <v>0</v>
      </c>
      <c r="DC46" s="949">
        <f t="shared" si="10"/>
        <v>2039</v>
      </c>
    </row>
    <row r="47" spans="1:107" x14ac:dyDescent="0.3">
      <c r="K47" s="690"/>
      <c r="BS47" s="122" t="s">
        <v>1385</v>
      </c>
      <c r="BT47" s="183">
        <f>SUM(BT35:BT46)</f>
        <v>19608462493.550743</v>
      </c>
      <c r="BU47" s="251"/>
      <c r="BV47" s="76" t="s">
        <v>805</v>
      </c>
      <c r="BW47" s="691">
        <f>AE82</f>
        <v>6630548568.2489748</v>
      </c>
      <c r="BX47" s="76"/>
      <c r="BY47" s="691">
        <f>BW47</f>
        <v>6630548568.2489748</v>
      </c>
      <c r="BZ47" s="691">
        <f>CJ31</f>
        <v>92042471679365.094</v>
      </c>
      <c r="CA47" s="76"/>
      <c r="CB47" s="736">
        <f>BZ47*CB46</f>
        <v>920424716793.651</v>
      </c>
      <c r="CC47" s="76"/>
      <c r="CD47" s="208">
        <f>CB47/BY47</f>
        <v>138.81577177508268</v>
      </c>
      <c r="CE47" s="76"/>
      <c r="CF47" s="76"/>
      <c r="CG47" s="76"/>
      <c r="CH47" s="332" t="s">
        <v>989</v>
      </c>
      <c r="CI47" s="953">
        <f t="shared" si="24"/>
        <v>2040</v>
      </c>
      <c r="CJ47" s="691">
        <f t="shared" si="25"/>
        <v>136637566547508.3</v>
      </c>
      <c r="CK47" s="894">
        <f t="shared" si="26"/>
        <v>2.5000000000000001E-2</v>
      </c>
      <c r="CL47" s="691">
        <f t="shared" si="27"/>
        <v>3415939163687.7075</v>
      </c>
      <c r="CN47" s="76"/>
      <c r="CO47" s="953">
        <f t="shared" si="19"/>
        <v>2040</v>
      </c>
      <c r="CP47" s="691">
        <f t="shared" si="22"/>
        <v>10737418.24</v>
      </c>
      <c r="CQ47" s="987">
        <v>64</v>
      </c>
      <c r="CR47" s="875">
        <f t="shared" si="16"/>
        <v>687194767.36000001</v>
      </c>
      <c r="CS47" s="969"/>
      <c r="CT47" s="977"/>
      <c r="CU47" s="691">
        <f t="shared" si="17"/>
        <v>0</v>
      </c>
      <c r="CW47" s="691">
        <f t="shared" si="7"/>
        <v>0</v>
      </c>
      <c r="CX47" s="691">
        <f t="shared" si="20"/>
        <v>10977936408.576</v>
      </c>
      <c r="CY47" s="894">
        <f t="shared" si="14"/>
        <v>0.125</v>
      </c>
      <c r="CZ47" s="975">
        <f t="shared" si="11"/>
        <v>1372242051.072</v>
      </c>
      <c r="DA47" s="691">
        <f t="shared" si="13"/>
        <v>2293484710.1038718</v>
      </c>
      <c r="DB47" s="183">
        <f t="shared" si="21"/>
        <v>0</v>
      </c>
      <c r="DC47" s="949">
        <f t="shared" si="10"/>
        <v>2040</v>
      </c>
    </row>
    <row r="48" spans="1:107" ht="16.2" thickBot="1" x14ac:dyDescent="0.35">
      <c r="BS48" s="1150" t="s">
        <v>309</v>
      </c>
      <c r="BT48" s="182">
        <f>BT47*BT34</f>
        <v>251338703565.90717</v>
      </c>
      <c r="BX48" s="565" t="s">
        <v>894</v>
      </c>
      <c r="BY48" s="208">
        <f>BY32/BY47</f>
        <v>25.079859491056652</v>
      </c>
      <c r="BZ48" s="367"/>
      <c r="CB48" s="192">
        <f>BY60</f>
        <v>172923775008.56012</v>
      </c>
      <c r="CC48" s="193"/>
      <c r="CD48" s="1" t="s">
        <v>1339</v>
      </c>
      <c r="CH48" s="332" t="s">
        <v>989</v>
      </c>
      <c r="CI48" s="953">
        <f t="shared" si="24"/>
        <v>2041</v>
      </c>
      <c r="CJ48" s="691">
        <f t="shared" si="25"/>
        <v>140053505711196</v>
      </c>
      <c r="CK48" s="894">
        <f t="shared" si="26"/>
        <v>2.5000000000000001E-2</v>
      </c>
      <c r="CL48" s="691">
        <f t="shared" si="27"/>
        <v>3501337642779.9004</v>
      </c>
      <c r="CN48" s="76"/>
      <c r="CO48" s="953">
        <f t="shared" si="19"/>
        <v>2041</v>
      </c>
      <c r="CP48" s="691">
        <f t="shared" si="22"/>
        <v>10737418.24</v>
      </c>
      <c r="CQ48" s="987">
        <v>64</v>
      </c>
      <c r="CR48" s="875">
        <f t="shared" si="16"/>
        <v>687194767.36000001</v>
      </c>
      <c r="CS48" s="969"/>
      <c r="CT48" s="977"/>
      <c r="CU48" s="691">
        <f t="shared" si="17"/>
        <v>0</v>
      </c>
      <c r="CW48" s="691">
        <f t="shared" si="7"/>
        <v>0</v>
      </c>
      <c r="CX48" s="691">
        <f t="shared" si="20"/>
        <v>10977936408.576</v>
      </c>
      <c r="CY48" s="894">
        <f t="shared" si="14"/>
        <v>0.125</v>
      </c>
      <c r="CZ48" s="975">
        <f t="shared" si="11"/>
        <v>1372242051.072</v>
      </c>
      <c r="DA48" s="691">
        <f t="shared" si="13"/>
        <v>2293484710.1038718</v>
      </c>
      <c r="DB48" s="183">
        <f t="shared" si="21"/>
        <v>0</v>
      </c>
      <c r="DC48" s="949">
        <f t="shared" si="10"/>
        <v>2041</v>
      </c>
    </row>
    <row r="49" spans="3:107" ht="16.2" thickBot="1" x14ac:dyDescent="0.35">
      <c r="C49" s="1" t="s">
        <v>801</v>
      </c>
      <c r="BS49" s="1150" t="s">
        <v>308</v>
      </c>
      <c r="BT49" s="182">
        <f>BT48*BU49</f>
        <v>166293226440.31116</v>
      </c>
      <c r="BU49" s="680">
        <v>0.66163000000000005</v>
      </c>
      <c r="BV49" s="1" t="s">
        <v>1275</v>
      </c>
      <c r="BX49" s="565" t="s">
        <v>888</v>
      </c>
      <c r="BY49" s="953">
        <v>8</v>
      </c>
      <c r="BZ49" s="1" t="s">
        <v>889</v>
      </c>
      <c r="CD49" s="1" t="s">
        <v>1340</v>
      </c>
      <c r="CH49" s="332" t="s">
        <v>989</v>
      </c>
      <c r="CI49" s="953">
        <f t="shared" si="24"/>
        <v>2042</v>
      </c>
      <c r="CJ49" s="691">
        <f t="shared" si="25"/>
        <v>143554843353975.91</v>
      </c>
      <c r="CK49" s="894">
        <f t="shared" si="26"/>
        <v>2.5000000000000001E-2</v>
      </c>
      <c r="CL49" s="691">
        <f t="shared" si="27"/>
        <v>3588871083849.3979</v>
      </c>
      <c r="CN49" s="76"/>
      <c r="CO49" s="953">
        <f t="shared" si="19"/>
        <v>2042</v>
      </c>
      <c r="CP49" s="691">
        <f t="shared" si="22"/>
        <v>10737418.24</v>
      </c>
      <c r="CQ49" s="987">
        <v>64</v>
      </c>
      <c r="CR49" s="875">
        <f t="shared" si="16"/>
        <v>687194767.36000001</v>
      </c>
      <c r="CS49" s="969"/>
      <c r="CT49" s="977"/>
      <c r="CU49" s="691">
        <f t="shared" si="17"/>
        <v>0</v>
      </c>
      <c r="CW49" s="691">
        <f t="shared" si="7"/>
        <v>0</v>
      </c>
      <c r="CX49" s="691">
        <f t="shared" si="20"/>
        <v>10977936408.576</v>
      </c>
      <c r="CY49" s="894">
        <f t="shared" si="14"/>
        <v>0.125</v>
      </c>
      <c r="CZ49" s="975">
        <f t="shared" si="11"/>
        <v>1372242051.072</v>
      </c>
      <c r="DA49" s="691">
        <f t="shared" si="13"/>
        <v>2293484710.1038718</v>
      </c>
      <c r="DB49" s="183">
        <f t="shared" si="21"/>
        <v>0</v>
      </c>
      <c r="DC49" s="949">
        <f t="shared" si="10"/>
        <v>2042</v>
      </c>
    </row>
    <row r="50" spans="3:107" x14ac:dyDescent="0.3">
      <c r="C50" s="13"/>
      <c r="D50" s="4"/>
      <c r="E50" s="120" t="s">
        <v>275</v>
      </c>
      <c r="F50" s="4"/>
      <c r="G50" s="173" t="s">
        <v>288</v>
      </c>
      <c r="H50" s="462" t="s">
        <v>1367</v>
      </c>
      <c r="I50" s="170" t="s">
        <v>1373</v>
      </c>
      <c r="J50" s="175" t="s">
        <v>297</v>
      </c>
      <c r="K50" s="170" t="s">
        <v>802</v>
      </c>
      <c r="BT50" s="239"/>
      <c r="BV50" s="1" t="s">
        <v>1276</v>
      </c>
      <c r="BX50" s="565" t="s">
        <v>890</v>
      </c>
      <c r="BY50" s="208">
        <f>BY48/BY49</f>
        <v>3.1349824363820815</v>
      </c>
      <c r="CH50" s="332" t="s">
        <v>989</v>
      </c>
      <c r="CI50" s="953">
        <f t="shared" si="24"/>
        <v>2043</v>
      </c>
      <c r="CJ50" s="691">
        <f t="shared" si="25"/>
        <v>147143714437825.31</v>
      </c>
      <c r="CK50" s="894">
        <f t="shared" si="26"/>
        <v>2.5000000000000001E-2</v>
      </c>
      <c r="CL50" s="691">
        <f t="shared" si="27"/>
        <v>3678592860945.6328</v>
      </c>
      <c r="CN50" s="76"/>
      <c r="CO50" s="953">
        <f t="shared" si="19"/>
        <v>2043</v>
      </c>
      <c r="CP50" s="691">
        <f t="shared" si="22"/>
        <v>10737418.24</v>
      </c>
      <c r="CQ50" s="987">
        <v>64</v>
      </c>
      <c r="CR50" s="875">
        <f t="shared" si="16"/>
        <v>687194767.36000001</v>
      </c>
      <c r="CS50" s="969"/>
      <c r="CT50" s="977"/>
      <c r="CU50" s="691">
        <f t="shared" si="17"/>
        <v>0</v>
      </c>
      <c r="CW50" s="691">
        <f t="shared" si="7"/>
        <v>0</v>
      </c>
      <c r="CX50" s="691">
        <f t="shared" si="20"/>
        <v>10977936408.576</v>
      </c>
      <c r="CY50" s="894">
        <f t="shared" si="14"/>
        <v>0.125</v>
      </c>
      <c r="CZ50" s="975">
        <f t="shared" si="11"/>
        <v>1372242051.072</v>
      </c>
      <c r="DA50" s="691">
        <f t="shared" si="13"/>
        <v>2293484710.1038718</v>
      </c>
      <c r="DB50" s="183">
        <f t="shared" si="21"/>
        <v>0</v>
      </c>
      <c r="DC50" s="949">
        <f t="shared" si="10"/>
        <v>2043</v>
      </c>
    </row>
    <row r="51" spans="3:107" x14ac:dyDescent="0.3">
      <c r="C51" s="122"/>
      <c r="D51" s="7"/>
      <c r="E51" s="875">
        <f>E8</f>
        <v>19608462493.550743</v>
      </c>
      <c r="F51" s="7"/>
      <c r="G51" s="468" t="s">
        <v>1386</v>
      </c>
      <c r="H51" s="469"/>
      <c r="I51" s="470"/>
      <c r="J51" s="471"/>
      <c r="K51" s="470"/>
      <c r="BT51" s="277" t="s">
        <v>748</v>
      </c>
      <c r="BX51" s="239"/>
      <c r="BY51" s="76"/>
      <c r="CH51" s="332" t="s">
        <v>989</v>
      </c>
      <c r="CI51" s="953">
        <f t="shared" si="24"/>
        <v>2044</v>
      </c>
      <c r="CJ51" s="691">
        <f t="shared" si="25"/>
        <v>150822307298770.94</v>
      </c>
      <c r="CK51" s="894">
        <f t="shared" si="26"/>
        <v>2.5000000000000001E-2</v>
      </c>
      <c r="CL51" s="691">
        <f t="shared" si="27"/>
        <v>3770557682469.2734</v>
      </c>
      <c r="CN51" s="76"/>
      <c r="CO51" s="953">
        <f t="shared" si="19"/>
        <v>2044</v>
      </c>
      <c r="CP51" s="691">
        <f t="shared" si="22"/>
        <v>10737418.24</v>
      </c>
      <c r="CQ51" s="987">
        <v>64</v>
      </c>
      <c r="CR51" s="875">
        <f t="shared" si="16"/>
        <v>687194767.36000001</v>
      </c>
      <c r="CS51" s="969"/>
      <c r="CT51" s="977"/>
      <c r="CU51" s="691">
        <f t="shared" si="17"/>
        <v>0</v>
      </c>
      <c r="CW51" s="691">
        <f t="shared" si="7"/>
        <v>0</v>
      </c>
      <c r="CX51" s="691">
        <f t="shared" si="20"/>
        <v>10977936408.576</v>
      </c>
      <c r="CY51" s="894">
        <f t="shared" si="14"/>
        <v>0.125</v>
      </c>
      <c r="CZ51" s="975">
        <f t="shared" si="11"/>
        <v>1372242051.072</v>
      </c>
      <c r="DA51" s="691">
        <f t="shared" si="13"/>
        <v>2293484710.1038718</v>
      </c>
      <c r="DB51" s="183">
        <f t="shared" si="21"/>
        <v>0</v>
      </c>
      <c r="DC51" s="949">
        <f t="shared" si="10"/>
        <v>2044</v>
      </c>
    </row>
    <row r="52" spans="3:107" ht="16.2" thickBot="1" x14ac:dyDescent="0.35">
      <c r="C52" s="122"/>
      <c r="D52" s="7"/>
      <c r="E52" s="7"/>
      <c r="F52" s="127"/>
      <c r="G52" s="127" t="s">
        <v>280</v>
      </c>
      <c r="H52" s="7"/>
      <c r="I52" s="459" t="s">
        <v>282</v>
      </c>
      <c r="J52" s="122"/>
      <c r="K52" s="8"/>
      <c r="BT52" s="277" t="s">
        <v>747</v>
      </c>
      <c r="BV52" s="110" t="s">
        <v>746</v>
      </c>
      <c r="BX52" s="565" t="s">
        <v>891</v>
      </c>
      <c r="BY52" s="76"/>
      <c r="CH52" s="332" t="s">
        <v>989</v>
      </c>
      <c r="CI52" s="953">
        <f t="shared" si="24"/>
        <v>2045</v>
      </c>
      <c r="CJ52" s="691">
        <f t="shared" si="25"/>
        <v>154592864981240.22</v>
      </c>
      <c r="CK52" s="894">
        <f t="shared" si="26"/>
        <v>2.5000000000000001E-2</v>
      </c>
      <c r="CL52" s="691">
        <f t="shared" si="27"/>
        <v>3864821624531.0059</v>
      </c>
      <c r="CN52" s="76"/>
      <c r="CO52" s="953">
        <f t="shared" si="19"/>
        <v>2045</v>
      </c>
      <c r="CP52" s="691">
        <f t="shared" si="22"/>
        <v>10737418.24</v>
      </c>
      <c r="CQ52" s="987">
        <v>64</v>
      </c>
      <c r="CR52" s="875">
        <f t="shared" si="16"/>
        <v>687194767.36000001</v>
      </c>
      <c r="CS52" s="969"/>
      <c r="CT52" s="977"/>
      <c r="CU52" s="691">
        <f t="shared" si="17"/>
        <v>0</v>
      </c>
      <c r="CW52" s="691">
        <f t="shared" si="7"/>
        <v>0</v>
      </c>
      <c r="CX52" s="691">
        <f t="shared" si="20"/>
        <v>10977936408.576</v>
      </c>
      <c r="CY52" s="894">
        <f t="shared" si="14"/>
        <v>0.125</v>
      </c>
      <c r="CZ52" s="975">
        <f t="shared" si="11"/>
        <v>1372242051.072</v>
      </c>
      <c r="DA52" s="691">
        <f t="shared" si="13"/>
        <v>2293484710.1038718</v>
      </c>
      <c r="DB52" s="183">
        <f t="shared" si="21"/>
        <v>0</v>
      </c>
      <c r="DC52" s="949">
        <f t="shared" si="10"/>
        <v>2045</v>
      </c>
    </row>
    <row r="53" spans="3:107" ht="16.2" thickBot="1" x14ac:dyDescent="0.35">
      <c r="C53" s="122"/>
      <c r="D53" s="7"/>
      <c r="E53" s="7"/>
      <c r="F53" s="129">
        <v>0.25</v>
      </c>
      <c r="G53" s="130">
        <f>E57*F53</f>
        <v>272443404.29167747</v>
      </c>
      <c r="H53" s="460">
        <v>0.5</v>
      </c>
      <c r="I53" s="130">
        <f>G53*H53</f>
        <v>136221702.14583874</v>
      </c>
      <c r="J53" s="460">
        <v>0</v>
      </c>
      <c r="K53" s="458">
        <f>I53*J53</f>
        <v>0</v>
      </c>
      <c r="BR53" s="933">
        <f>BU53</f>
        <v>1024</v>
      </c>
      <c r="BS53" s="927" t="s">
        <v>745</v>
      </c>
      <c r="BT53" s="578">
        <f>BV53*BU53</f>
        <v>21990232555.52</v>
      </c>
      <c r="BU53" s="934">
        <v>1024</v>
      </c>
      <c r="BV53" s="578">
        <f>'POP Dimensions'!J15</f>
        <v>21474836.48</v>
      </c>
      <c r="BW53" s="239"/>
      <c r="BX53" s="565" t="s">
        <v>901</v>
      </c>
      <c r="BY53" s="484">
        <v>0.17</v>
      </c>
      <c r="BZ53" s="1" t="s">
        <v>895</v>
      </c>
      <c r="CH53" s="332" t="s">
        <v>989</v>
      </c>
      <c r="CI53" s="953">
        <f t="shared" si="24"/>
        <v>2046</v>
      </c>
      <c r="CJ53" s="691">
        <f t="shared" si="25"/>
        <v>158457686605771.22</v>
      </c>
      <c r="CK53" s="894">
        <f t="shared" si="26"/>
        <v>2.5000000000000001E-2</v>
      </c>
      <c r="CL53" s="691">
        <f t="shared" si="27"/>
        <v>3961442165144.2808</v>
      </c>
      <c r="CN53" s="76"/>
      <c r="CO53" s="953">
        <f t="shared" si="19"/>
        <v>2046</v>
      </c>
      <c r="CP53" s="691">
        <f t="shared" si="22"/>
        <v>10737418.24</v>
      </c>
      <c r="CQ53" s="987">
        <v>64</v>
      </c>
      <c r="CR53" s="875">
        <f t="shared" si="16"/>
        <v>687194767.36000001</v>
      </c>
      <c r="CS53" s="969"/>
      <c r="CT53" s="977"/>
      <c r="CU53" s="691">
        <f t="shared" si="17"/>
        <v>0</v>
      </c>
      <c r="CW53" s="691">
        <f t="shared" si="7"/>
        <v>0</v>
      </c>
      <c r="CX53" s="691">
        <f t="shared" si="20"/>
        <v>10977936408.576</v>
      </c>
      <c r="CY53" s="894">
        <f t="shared" si="14"/>
        <v>0.125</v>
      </c>
      <c r="CZ53" s="975">
        <f t="shared" si="11"/>
        <v>1372242051.072</v>
      </c>
      <c r="DA53" s="691">
        <f t="shared" si="13"/>
        <v>2293484710.1038718</v>
      </c>
      <c r="DB53" s="183">
        <f t="shared" si="21"/>
        <v>0</v>
      </c>
      <c r="DC53" s="949">
        <f t="shared" si="10"/>
        <v>2046</v>
      </c>
    </row>
    <row r="54" spans="3:107" ht="16.2" thickBot="1" x14ac:dyDescent="0.35">
      <c r="C54" s="122"/>
      <c r="D54" s="7"/>
      <c r="E54" s="7"/>
      <c r="F54" s="133"/>
      <c r="G54" s="134" t="s">
        <v>290</v>
      </c>
      <c r="H54" s="7"/>
      <c r="I54" s="457" t="s">
        <v>283</v>
      </c>
      <c r="J54" s="122"/>
      <c r="K54" s="8"/>
      <c r="BR54" s="927"/>
      <c r="BT54" s="999" t="s">
        <v>1355</v>
      </c>
      <c r="BU54" s="254"/>
      <c r="BV54" s="248" t="s">
        <v>1290</v>
      </c>
      <c r="BX54" s="566"/>
      <c r="BY54" s="76"/>
      <c r="CH54" s="332" t="s">
        <v>989</v>
      </c>
      <c r="CI54" s="953">
        <f t="shared" si="24"/>
        <v>2047</v>
      </c>
      <c r="CJ54" s="691">
        <f t="shared" si="25"/>
        <v>162419128770915.5</v>
      </c>
      <c r="CK54" s="894">
        <f t="shared" si="26"/>
        <v>2.5000000000000001E-2</v>
      </c>
      <c r="CL54" s="691">
        <f t="shared" si="27"/>
        <v>4060478219272.8877</v>
      </c>
      <c r="CN54" s="76"/>
      <c r="CO54" s="953">
        <f t="shared" si="19"/>
        <v>2047</v>
      </c>
      <c r="CP54" s="691">
        <f t="shared" si="22"/>
        <v>10737418.24</v>
      </c>
      <c r="CQ54" s="987">
        <v>64</v>
      </c>
      <c r="CR54" s="875">
        <f t="shared" si="16"/>
        <v>687194767.36000001</v>
      </c>
      <c r="CS54" s="969"/>
      <c r="CT54" s="977"/>
      <c r="CU54" s="691">
        <f t="shared" si="17"/>
        <v>0</v>
      </c>
      <c r="CW54" s="691">
        <f t="shared" si="7"/>
        <v>0</v>
      </c>
      <c r="CX54" s="691">
        <f t="shared" si="20"/>
        <v>10977936408.576</v>
      </c>
      <c r="CY54" s="894">
        <f t="shared" si="14"/>
        <v>0.125</v>
      </c>
      <c r="CZ54" s="975">
        <f t="shared" si="11"/>
        <v>1372242051.072</v>
      </c>
      <c r="DA54" s="691">
        <f t="shared" si="13"/>
        <v>2293484710.1038718</v>
      </c>
      <c r="DB54" s="183">
        <f t="shared" si="21"/>
        <v>0</v>
      </c>
      <c r="DC54" s="949">
        <f t="shared" si="10"/>
        <v>2047</v>
      </c>
    </row>
    <row r="55" spans="3:107" ht="16.2" thickBot="1" x14ac:dyDescent="0.35">
      <c r="C55" s="122"/>
      <c r="D55" s="7"/>
      <c r="E55" s="7"/>
      <c r="F55" s="133">
        <v>0.25</v>
      </c>
      <c r="G55" s="135">
        <f>E57*F55</f>
        <v>272443404.29167747</v>
      </c>
      <c r="H55" s="461">
        <v>0.9</v>
      </c>
      <c r="I55" s="135">
        <f>G55*H55</f>
        <v>245199063.86250973</v>
      </c>
      <c r="J55" s="461">
        <v>0</v>
      </c>
      <c r="K55" s="440">
        <f>I55*J55</f>
        <v>0</v>
      </c>
      <c r="BR55" s="239"/>
      <c r="BT55" s="1002" t="s">
        <v>867</v>
      </c>
      <c r="BU55" s="254"/>
      <c r="BV55" s="253"/>
      <c r="BX55" s="239"/>
      <c r="BY55" s="484">
        <v>0.17</v>
      </c>
      <c r="BZ55" s="32">
        <f>BY55</f>
        <v>0.17</v>
      </c>
      <c r="CH55" s="332" t="s">
        <v>989</v>
      </c>
      <c r="CI55" s="953">
        <f t="shared" si="24"/>
        <v>2048</v>
      </c>
      <c r="CJ55" s="691">
        <f t="shared" si="25"/>
        <v>166479606990188.38</v>
      </c>
      <c r="CK55" s="894">
        <f t="shared" si="26"/>
        <v>2.5000000000000001E-2</v>
      </c>
      <c r="CL55" s="691">
        <f t="shared" si="27"/>
        <v>4161990174754.7095</v>
      </c>
      <c r="CM55" s="895" t="s">
        <v>1280</v>
      </c>
      <c r="CN55" s="76"/>
      <c r="CO55" s="953">
        <f t="shared" si="19"/>
        <v>2048</v>
      </c>
      <c r="CP55" s="691">
        <f t="shared" si="22"/>
        <v>10737418.24</v>
      </c>
      <c r="CQ55" s="987">
        <v>64</v>
      </c>
      <c r="CR55" s="875">
        <f t="shared" si="16"/>
        <v>687194767.36000001</v>
      </c>
      <c r="CS55" s="969"/>
      <c r="CT55" s="977"/>
      <c r="CU55" s="691">
        <f t="shared" si="17"/>
        <v>0</v>
      </c>
      <c r="CW55" s="691">
        <f t="shared" si="7"/>
        <v>0</v>
      </c>
      <c r="CX55" s="691">
        <f t="shared" si="20"/>
        <v>10977936408.576</v>
      </c>
      <c r="CY55" s="894">
        <f t="shared" si="14"/>
        <v>0.125</v>
      </c>
      <c r="CZ55" s="975">
        <f t="shared" si="11"/>
        <v>1372242051.072</v>
      </c>
      <c r="DA55" s="691">
        <f t="shared" si="13"/>
        <v>2293484710.1038718</v>
      </c>
      <c r="DB55" s="183">
        <f t="shared" si="21"/>
        <v>0</v>
      </c>
      <c r="DC55" s="949">
        <f t="shared" si="10"/>
        <v>2048</v>
      </c>
    </row>
    <row r="56" spans="3:107" ht="18.600000000000001" thickBot="1" x14ac:dyDescent="0.4">
      <c r="C56" s="122"/>
      <c r="D56" s="7"/>
      <c r="E56" s="7"/>
      <c r="F56" s="136"/>
      <c r="G56" s="136" t="s">
        <v>279</v>
      </c>
      <c r="H56" s="7"/>
      <c r="I56" s="451" t="s">
        <v>284</v>
      </c>
      <c r="J56" s="122"/>
      <c r="K56" s="8"/>
      <c r="S56" s="88"/>
      <c r="BR56" s="239"/>
      <c r="BT56" s="719">
        <f>BT48-BT53</f>
        <v>229348471010.38718</v>
      </c>
      <c r="BU56" s="253"/>
      <c r="BV56" s="253"/>
      <c r="BW56" s="253"/>
      <c r="BX56" s="239" t="s">
        <v>892</v>
      </c>
      <c r="BY56" s="615">
        <f>BZ58</f>
        <v>18.441073155188715</v>
      </c>
      <c r="BZ56" s="569" t="s">
        <v>980</v>
      </c>
      <c r="CA56" s="569"/>
      <c r="CB56" s="181"/>
      <c r="CC56" s="181"/>
      <c r="CD56" s="252"/>
      <c r="CE56" s="252"/>
      <c r="CF56" s="252"/>
      <c r="CG56" s="252"/>
      <c r="CM56" s="1"/>
      <c r="CS56" s="979">
        <f>SUM(CS22:CS55)</f>
        <v>15.975</v>
      </c>
      <c r="CT56" s="979">
        <f>SUM(CT22:CT55)</f>
        <v>0</v>
      </c>
    </row>
    <row r="57" spans="3:107" ht="16.8" thickTop="1" thickBot="1" x14ac:dyDescent="0.35">
      <c r="C57" s="137" t="s">
        <v>291</v>
      </c>
      <c r="D57" s="138">
        <f>E57/E51</f>
        <v>5.5576698964803502E-2</v>
      </c>
      <c r="E57" s="139">
        <f>E14</f>
        <v>1089773617.1667099</v>
      </c>
      <c r="F57" s="140">
        <v>0.5</v>
      </c>
      <c r="G57" s="139">
        <f>E57*F57</f>
        <v>544886808.58335495</v>
      </c>
      <c r="H57" s="463">
        <v>0.95</v>
      </c>
      <c r="I57" s="139">
        <f>G57*H57</f>
        <v>517642468.1541872</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7" t="s">
        <v>1293</v>
      </c>
      <c r="BT57" s="1003"/>
      <c r="BU57" s="253"/>
      <c r="BV57" s="877" t="s">
        <v>1293</v>
      </c>
      <c r="BW57" s="252"/>
      <c r="BX57" s="239"/>
      <c r="BY57" s="208">
        <f>BY50</f>
        <v>3.1349824363820815</v>
      </c>
      <c r="BZ57" s="80">
        <f>BY57</f>
        <v>3.1349824363820815</v>
      </c>
      <c r="CW57" s="77" t="s">
        <v>966</v>
      </c>
      <c r="CX57" s="77"/>
      <c r="CY57" s="77" t="s">
        <v>965</v>
      </c>
      <c r="CZ57" s="77"/>
      <c r="DA57" s="77"/>
    </row>
    <row r="58" spans="3:107"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7" t="s">
        <v>1294</v>
      </c>
      <c r="BT58" s="996">
        <f>BT56*BU58</f>
        <v>2293484710.1038718</v>
      </c>
      <c r="BU58" s="923">
        <v>0.01</v>
      </c>
      <c r="BV58" s="924" t="s">
        <v>1443</v>
      </c>
      <c r="BW58" s="925"/>
      <c r="BX58" s="239"/>
      <c r="BY58" s="76"/>
      <c r="BZ58" s="1">
        <f>BZ57/BZ55</f>
        <v>18.441073155188715</v>
      </c>
      <c r="CW58" s="77" t="s">
        <v>785</v>
      </c>
      <c r="CX58" s="77"/>
      <c r="CY58" s="77" t="s">
        <v>962</v>
      </c>
      <c r="CZ58" s="77"/>
      <c r="DA58" s="77"/>
    </row>
    <row r="59" spans="3:107"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76"/>
      <c r="BQ59" s="410"/>
      <c r="BR59" s="928"/>
      <c r="BS59" s="948" t="s">
        <v>1295</v>
      </c>
      <c r="BT59" s="911">
        <f>BT56*BU59</f>
        <v>4586969420.2077436</v>
      </c>
      <c r="BU59" s="912">
        <v>0.02</v>
      </c>
      <c r="BV59" s="875" t="s">
        <v>1162</v>
      </c>
      <c r="BW59" s="126"/>
      <c r="BX59" s="239"/>
      <c r="BY59" s="76"/>
      <c r="CD59" s="32"/>
    </row>
    <row r="60" spans="3:107" ht="16.2" thickBot="1" x14ac:dyDescent="0.35">
      <c r="C60" s="397" t="s">
        <v>276</v>
      </c>
      <c r="D60" s="398">
        <f>100%-D57-D63</f>
        <v>0.78125</v>
      </c>
      <c r="E60" s="399">
        <f>E51*D60</f>
        <v>15319111323.086517</v>
      </c>
      <c r="F60" s="400">
        <v>1</v>
      </c>
      <c r="G60" s="399">
        <f>E60*F60</f>
        <v>15319111323.086517</v>
      </c>
      <c r="H60" s="464">
        <v>0.9</v>
      </c>
      <c r="I60" s="399">
        <f>G60*H60</f>
        <v>13787200190.777866</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8" t="s">
        <v>1296</v>
      </c>
      <c r="BT60" s="911">
        <f>BT56*BU60</f>
        <v>9173938840.4154873</v>
      </c>
      <c r="BU60" s="912">
        <v>0.04</v>
      </c>
      <c r="BV60" s="875" t="s">
        <v>1441</v>
      </c>
      <c r="BW60" s="126"/>
      <c r="BX60" s="239"/>
      <c r="BY60" s="691">
        <f>BY32+BY47</f>
        <v>172923775008.56012</v>
      </c>
      <c r="BZ60" s="1" t="s">
        <v>958</v>
      </c>
      <c r="CM60" s="1"/>
      <c r="CQ60" s="1"/>
      <c r="DB60" s="1"/>
      <c r="DC60" s="1"/>
    </row>
    <row r="61" spans="3:107"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10"/>
      <c r="BR61" s="927"/>
      <c r="BS61" s="948" t="s">
        <v>1297</v>
      </c>
      <c r="BT61" s="911">
        <f>BT56*BU61</f>
        <v>13760908260.62323</v>
      </c>
      <c r="BU61" s="912">
        <v>0.06</v>
      </c>
      <c r="BV61" s="875" t="s">
        <v>1303</v>
      </c>
      <c r="BW61" s="126"/>
      <c r="BX61" s="253"/>
      <c r="BY61" s="647">
        <f>BY60/BY47</f>
        <v>26.079859491056652</v>
      </c>
    </row>
    <row r="62" spans="3:107"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8" t="s">
        <v>1300</v>
      </c>
      <c r="BT62" s="911">
        <f>BT56*BU62</f>
        <v>20641362390.934845</v>
      </c>
      <c r="BU62" s="912">
        <v>0.09</v>
      </c>
      <c r="BV62" s="410" t="s">
        <v>1442</v>
      </c>
      <c r="BW62" s="126"/>
      <c r="BX62" s="253"/>
    </row>
    <row r="63" spans="3:107" ht="16.2" thickBot="1" x14ac:dyDescent="0.35">
      <c r="C63" s="149" t="s">
        <v>737</v>
      </c>
      <c r="D63" s="150">
        <f>E63/E51</f>
        <v>0.16317330103519651</v>
      </c>
      <c r="E63" s="151">
        <f>E21</f>
        <v>3199577553.2975154</v>
      </c>
      <c r="F63" s="152">
        <v>0.3</v>
      </c>
      <c r="G63" s="151">
        <f>E63*F63</f>
        <v>959873265.98925459</v>
      </c>
      <c r="H63" s="465">
        <v>0.9</v>
      </c>
      <c r="I63" s="151">
        <f>G63*H63</f>
        <v>863885939.39032912</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26"/>
      <c r="BP63" s="410"/>
      <c r="BQ63" s="410"/>
      <c r="BR63" s="927"/>
      <c r="BS63" s="948" t="s">
        <v>1305</v>
      </c>
      <c r="BT63" s="911">
        <f>BT56*BU63</f>
        <v>9173938840.4154873</v>
      </c>
      <c r="BU63" s="912">
        <v>0.04</v>
      </c>
      <c r="BV63" s="410" t="s">
        <v>148</v>
      </c>
      <c r="BW63" s="126"/>
      <c r="BX63" s="253"/>
    </row>
    <row r="64" spans="3:107"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64"/>
      <c r="BQ64" s="106"/>
      <c r="BR64" s="929"/>
      <c r="BS64" s="938"/>
      <c r="BT64" s="1004"/>
      <c r="BU64" s="1005"/>
      <c r="BV64" s="1005"/>
      <c r="BW64" s="903"/>
      <c r="BX64" s="253"/>
    </row>
    <row r="65" spans="3:107" ht="16.2" thickBot="1" x14ac:dyDescent="0.35">
      <c r="C65" s="141"/>
      <c r="D65" s="429"/>
      <c r="E65" s="371"/>
      <c r="F65" s="430">
        <v>0.25</v>
      </c>
      <c r="G65" s="432">
        <f>E63*F65</f>
        <v>799894388.32437885</v>
      </c>
      <c r="H65" s="466">
        <v>0.95</v>
      </c>
      <c r="I65" s="432">
        <f>G65*H65</f>
        <v>759899668.90815985</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64"/>
      <c r="BQ65" s="106"/>
      <c r="BR65" s="927"/>
      <c r="BS65" s="939" t="s">
        <v>1299</v>
      </c>
      <c r="BT65" s="1006">
        <f>BT53</f>
        <v>21990232555.52</v>
      </c>
      <c r="BU65" s="935">
        <f>BT65/BT56</f>
        <v>9.5881313089390796E-2</v>
      </c>
      <c r="BV65" s="898" t="s">
        <v>1311</v>
      </c>
      <c r="BW65" s="905"/>
      <c r="BX65" s="253"/>
    </row>
    <row r="66" spans="3:107"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64"/>
      <c r="BQ66" s="106"/>
      <c r="BR66" s="106"/>
      <c r="BS66" s="940" t="s">
        <v>1325</v>
      </c>
      <c r="BT66" s="930">
        <f>BT56*BU66</f>
        <v>2293484710.1038718</v>
      </c>
      <c r="BU66" s="931">
        <v>0.01</v>
      </c>
      <c r="BV66" s="898" t="s">
        <v>1315</v>
      </c>
      <c r="BW66" s="905"/>
      <c r="BX66" s="946">
        <v>272</v>
      </c>
      <c r="BY66" s="181" t="s">
        <v>1314</v>
      </c>
    </row>
    <row r="67" spans="3:107" ht="16.2" thickBot="1" x14ac:dyDescent="0.35">
      <c r="C67" s="122"/>
      <c r="D67" s="7"/>
      <c r="E67" s="7"/>
      <c r="F67" s="153">
        <v>0.2</v>
      </c>
      <c r="G67" s="99">
        <f>E63*F67</f>
        <v>639915510.6595031</v>
      </c>
      <c r="H67" s="467">
        <v>0.9</v>
      </c>
      <c r="I67" s="99">
        <f>G67*H67</f>
        <v>575923959.59355283</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64"/>
      <c r="BQ67" s="106"/>
      <c r="BR67" s="106"/>
      <c r="BS67" s="940" t="s">
        <v>1307</v>
      </c>
      <c r="BT67" s="930">
        <f>BT56*BU67</f>
        <v>11467423550.51936</v>
      </c>
      <c r="BU67" s="931">
        <v>0.05</v>
      </c>
      <c r="BV67" s="898" t="s">
        <v>1323</v>
      </c>
      <c r="BW67" s="905"/>
      <c r="BX67" s="945">
        <v>100</v>
      </c>
      <c r="BY67" s="938">
        <f>BX66*BX67</f>
        <v>27200</v>
      </c>
      <c r="BZ67" s="1" t="s">
        <v>1316</v>
      </c>
    </row>
    <row r="68" spans="3:107"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64"/>
      <c r="BQ68" s="106"/>
      <c r="BR68" s="251"/>
      <c r="BS68" s="940" t="s">
        <v>1308</v>
      </c>
      <c r="BT68" s="930">
        <f>BT56*BU68</f>
        <v>6880454130.311615</v>
      </c>
      <c r="BU68" s="931">
        <v>0.03</v>
      </c>
      <c r="BV68" s="898" t="s">
        <v>1438</v>
      </c>
      <c r="BW68" s="905"/>
      <c r="BX68" s="600"/>
      <c r="BY68" s="1">
        <v>1000</v>
      </c>
      <c r="BZ68" s="1" t="s">
        <v>226</v>
      </c>
    </row>
    <row r="69" spans="3:107" ht="16.2" thickBot="1" x14ac:dyDescent="0.35">
      <c r="C69" s="122"/>
      <c r="D69" s="7"/>
      <c r="E69" s="7"/>
      <c r="F69" s="438">
        <v>0.2</v>
      </c>
      <c r="G69" s="446">
        <f>E63*F69</f>
        <v>639915510.6595031</v>
      </c>
      <c r="H69" s="447">
        <v>0.25</v>
      </c>
      <c r="I69" s="446">
        <f>G69*H69</f>
        <v>159978877.66487578</v>
      </c>
      <c r="J69" s="447">
        <v>0</v>
      </c>
      <c r="K69" s="439">
        <f>I69*J69</f>
        <v>0</v>
      </c>
      <c r="Q69" s="240" t="s">
        <v>952</v>
      </c>
      <c r="S69" s="88"/>
      <c r="W69" s="691">
        <f>BW47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8"/>
      <c r="BQ69" s="88"/>
      <c r="BR69" s="88"/>
      <c r="BS69" s="940" t="s">
        <v>1317</v>
      </c>
      <c r="BT69" s="930">
        <f>BT56*BU69</f>
        <v>6880454130.311615</v>
      </c>
      <c r="BU69" s="931">
        <v>0.03</v>
      </c>
      <c r="BV69" s="898" t="s">
        <v>1356</v>
      </c>
      <c r="BW69" s="905"/>
      <c r="BX69" s="601"/>
      <c r="BY69" s="1">
        <f>BY67*BY68</f>
        <v>27200000</v>
      </c>
      <c r="BZ69" s="1" t="s">
        <v>1320</v>
      </c>
    </row>
    <row r="70" spans="3:107"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8"/>
      <c r="BQ70" s="88"/>
      <c r="BR70" s="88"/>
      <c r="BS70" s="940" t="s">
        <v>1318</v>
      </c>
      <c r="BT70" s="930">
        <f>BT56*BU70</f>
        <v>6880454130.311615</v>
      </c>
      <c r="BU70" s="931">
        <v>0.03</v>
      </c>
      <c r="BV70" s="898" t="s">
        <v>1357</v>
      </c>
      <c r="BW70" s="905"/>
      <c r="BX70" s="600"/>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55">
        <f>BU53</f>
        <v>1024</v>
      </c>
      <c r="U71" s="77" t="s">
        <v>804</v>
      </c>
      <c r="V71" s="947"/>
      <c r="W71" s="319">
        <v>0.3</v>
      </c>
      <c r="Y71" s="76" t="s">
        <v>893</v>
      </c>
      <c r="Z71" s="76"/>
      <c r="AA71" s="77" t="s">
        <v>1332</v>
      </c>
      <c r="AB71" s="88"/>
      <c r="AE71" s="958"/>
      <c r="AF71" s="644" t="s">
        <v>986</v>
      </c>
      <c r="AG71" s="958"/>
      <c r="BN71" s="88"/>
      <c r="BO71" s="88"/>
      <c r="BP71" s="958"/>
      <c r="BQ71" s="88"/>
      <c r="BR71" s="88"/>
      <c r="BS71" s="940" t="s">
        <v>1319</v>
      </c>
      <c r="BT71" s="930">
        <f>BT56*BU71</f>
        <v>6880454130.311615</v>
      </c>
      <c r="BU71" s="931">
        <v>0.03</v>
      </c>
      <c r="BV71" s="898" t="s">
        <v>1358</v>
      </c>
      <c r="BW71" s="905"/>
      <c r="BX71" s="936"/>
    </row>
    <row r="72" spans="3:107" x14ac:dyDescent="0.3">
      <c r="C72" s="158"/>
      <c r="D72" s="10"/>
      <c r="E72" s="10"/>
      <c r="F72" s="10"/>
      <c r="G72" s="159">
        <f>SUM(G53:G71)</f>
        <v>19448483615.885868</v>
      </c>
      <c r="H72" s="160"/>
      <c r="I72" s="172">
        <f>SUM(I53:I71)</f>
        <v>17045951870.49732</v>
      </c>
      <c r="J72" s="158"/>
      <c r="K72" s="481">
        <f>SUM(K53:K71)</f>
        <v>0</v>
      </c>
      <c r="L72" s="482">
        <f>BT34</f>
        <v>12.817869001640128</v>
      </c>
      <c r="M72" s="480">
        <f>K72*L72</f>
        <v>0</v>
      </c>
      <c r="N72" s="239"/>
      <c r="O72" s="950">
        <f>BU53</f>
        <v>1024</v>
      </c>
      <c r="P72" s="239"/>
      <c r="Q72" s="480">
        <f>M72*O72</f>
        <v>0</v>
      </c>
      <c r="R72" s="239"/>
      <c r="S72" s="956">
        <f>M72*S71</f>
        <v>0</v>
      </c>
      <c r="T72" s="239"/>
      <c r="U72" s="910">
        <f>Q72+S72</f>
        <v>0</v>
      </c>
      <c r="V72" s="949" t="s">
        <v>1330</v>
      </c>
      <c r="W72" s="910">
        <f>W69*W71</f>
        <v>1989164570.4746923</v>
      </c>
      <c r="X72" s="949" t="s">
        <v>1330</v>
      </c>
      <c r="Y72" s="910">
        <f>BT59+BT60+BT61+BT62+BT63</f>
        <v>57337117752.596794</v>
      </c>
      <c r="Z72" s="949" t="s">
        <v>1331</v>
      </c>
      <c r="AA72" s="910">
        <f>U72+W72+Y72</f>
        <v>59326282323.071487</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181"/>
      <c r="BP72" s="958"/>
      <c r="BQ72" s="88"/>
      <c r="BR72" s="88"/>
      <c r="BS72" s="940" t="s">
        <v>1312</v>
      </c>
      <c r="BT72" s="930">
        <f>BT56*BU72</f>
        <v>6880454130.311615</v>
      </c>
      <c r="BU72" s="931">
        <v>0.03</v>
      </c>
      <c r="BV72" s="898" t="s">
        <v>1359</v>
      </c>
      <c r="BW72" s="905"/>
      <c r="BX72" s="812"/>
    </row>
    <row r="73" spans="3:107"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BO73" s="88"/>
      <c r="BP73" s="88"/>
      <c r="BQ73" s="88"/>
      <c r="BR73" s="88"/>
      <c r="BS73" s="940" t="s">
        <v>1313</v>
      </c>
      <c r="BT73" s="930">
        <f>BT56*BU73</f>
        <v>11467423550.51936</v>
      </c>
      <c r="BU73" s="931">
        <v>0.05</v>
      </c>
      <c r="BV73" s="898" t="s">
        <v>1361</v>
      </c>
      <c r="BW73" s="905"/>
      <c r="BX73" s="255"/>
    </row>
    <row r="74" spans="3:107"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BO74" s="88"/>
      <c r="BP74" s="252"/>
      <c r="BQ74" s="252"/>
      <c r="BR74" s="252"/>
      <c r="BS74" s="940" t="s">
        <v>1324</v>
      </c>
      <c r="BT74" s="930">
        <f>BT56*BU74</f>
        <v>22934847101.038719</v>
      </c>
      <c r="BU74" s="931">
        <v>0.1</v>
      </c>
      <c r="BV74" s="898" t="s">
        <v>1439</v>
      </c>
      <c r="BW74" s="905"/>
      <c r="BX74" s="255"/>
    </row>
    <row r="75" spans="3:107"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BO75" s="88"/>
      <c r="BP75" s="252"/>
      <c r="BQ75" s="88"/>
      <c r="BR75" s="88"/>
      <c r="BS75" s="940" t="s">
        <v>1306</v>
      </c>
      <c r="BT75" s="930">
        <f>BT56*BU75</f>
        <v>4586969420.2077436</v>
      </c>
      <c r="BU75" s="931">
        <v>0.02</v>
      </c>
      <c r="BV75" s="899" t="s">
        <v>1360</v>
      </c>
      <c r="BW75" s="932"/>
      <c r="BX75" s="255"/>
    </row>
    <row r="76" spans="3:107" x14ac:dyDescent="0.3">
      <c r="R76" s="88"/>
      <c r="S76" s="252"/>
      <c r="T76" s="88"/>
      <c r="U76" s="88"/>
      <c r="V76" s="88"/>
      <c r="W76" s="88"/>
      <c r="X76" s="88"/>
      <c r="Y76" s="88"/>
      <c r="Z76" s="361" t="s">
        <v>1347</v>
      </c>
      <c r="AA76" s="736">
        <f>AA72</f>
        <v>59326282323.071487</v>
      </c>
      <c r="AB76" s="88"/>
      <c r="AD76" s="960">
        <f t="shared" si="30"/>
        <v>2018</v>
      </c>
      <c r="AE76" s="691">
        <f t="shared" si="31"/>
        <v>5717501250</v>
      </c>
      <c r="AF76" s="963">
        <f t="shared" si="28"/>
        <v>2.5000000000000001E-2</v>
      </c>
      <c r="AG76" s="691">
        <f t="shared" si="29"/>
        <v>142937531.25</v>
      </c>
      <c r="BO76" s="88"/>
      <c r="BP76" s="252"/>
      <c r="BQ76" s="88"/>
      <c r="BR76" s="88"/>
      <c r="BS76" s="941" t="s">
        <v>1309</v>
      </c>
      <c r="BT76" s="930">
        <f>BT56*BU76</f>
        <v>4586969420.2077436</v>
      </c>
      <c r="BU76" s="931">
        <v>0.02</v>
      </c>
      <c r="BV76" s="899" t="s">
        <v>1440</v>
      </c>
      <c r="BW76" s="932"/>
      <c r="BX76" s="255"/>
    </row>
    <row r="77" spans="3:107"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BO77" s="88"/>
      <c r="BP77" s="88"/>
      <c r="BQ77" s="88"/>
      <c r="BR77" s="88"/>
      <c r="BS77" s="940" t="s">
        <v>1310</v>
      </c>
      <c r="BT77" s="904">
        <f>BT56*BU77</f>
        <v>11467423550.51936</v>
      </c>
      <c r="BU77" s="1065">
        <v>0.05</v>
      </c>
      <c r="BV77" s="898" t="s">
        <v>1362</v>
      </c>
      <c r="BW77" s="905"/>
      <c r="BX77" s="255"/>
    </row>
    <row r="78" spans="3:107" x14ac:dyDescent="0.3">
      <c r="R78" s="88"/>
      <c r="S78" s="252"/>
      <c r="T78" s="88"/>
      <c r="U78" s="88"/>
      <c r="V78" s="88"/>
      <c r="W78" s="88"/>
      <c r="X78" s="88"/>
      <c r="Y78" s="88"/>
      <c r="Z78" s="555" t="s">
        <v>1333</v>
      </c>
      <c r="AA78" s="957">
        <f>AA72/W72</f>
        <v>29.82472300364465</v>
      </c>
      <c r="AB78" s="252"/>
      <c r="AD78" s="960">
        <f t="shared" ref="AD78:AD106" si="32">AD77+1</f>
        <v>2020</v>
      </c>
      <c r="AE78" s="691">
        <f t="shared" si="31"/>
        <v>6006949750.78125</v>
      </c>
      <c r="AF78" s="963">
        <f t="shared" si="28"/>
        <v>2.5000000000000001E-2</v>
      </c>
      <c r="AG78" s="691">
        <f t="shared" si="29"/>
        <v>150173743.76953125</v>
      </c>
      <c r="BO78" s="88"/>
      <c r="BP78" s="88"/>
      <c r="BQ78" s="88"/>
      <c r="BR78" s="88"/>
      <c r="BS78" s="940" t="s">
        <v>1452</v>
      </c>
      <c r="BT78" s="904">
        <f>BT56*BU78</f>
        <v>11467423550.51936</v>
      </c>
      <c r="BU78" s="1065">
        <v>0.05</v>
      </c>
      <c r="BV78" s="898" t="s">
        <v>1450</v>
      </c>
      <c r="BW78" s="905"/>
      <c r="BX78" s="255"/>
    </row>
    <row r="79" spans="3:107"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BO79" s="88"/>
      <c r="BP79" s="88"/>
      <c r="BQ79" s="88"/>
      <c r="BR79" s="88"/>
      <c r="BS79" s="940" t="s">
        <v>1454</v>
      </c>
      <c r="BT79" s="904">
        <f>BT56*BU79</f>
        <v>11467423550.51936</v>
      </c>
      <c r="BU79" s="1065">
        <v>0.05</v>
      </c>
      <c r="BV79" s="898" t="s">
        <v>1455</v>
      </c>
      <c r="BW79" s="905"/>
      <c r="BX79" s="255"/>
    </row>
    <row r="80" spans="3:107"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BO80" s="88"/>
      <c r="BP80" s="88"/>
      <c r="BQ80" s="88"/>
      <c r="BR80" s="88"/>
      <c r="BS80" s="940" t="s">
        <v>1326</v>
      </c>
      <c r="BT80" s="904">
        <f>BT56*BU80</f>
        <v>9173938840.4154873</v>
      </c>
      <c r="BU80" s="1065">
        <v>0.04</v>
      </c>
      <c r="BV80" s="898" t="s">
        <v>1348</v>
      </c>
      <c r="BW80" s="905"/>
      <c r="BX80" s="251"/>
    </row>
    <row r="81" spans="18:77"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BO81" s="88"/>
      <c r="BP81" s="88"/>
      <c r="BQ81" s="88"/>
      <c r="BR81" s="88"/>
      <c r="BS81" s="940" t="s">
        <v>1298</v>
      </c>
      <c r="BT81" s="930">
        <f>BT56*BU81</f>
        <v>9173938840.4154873</v>
      </c>
      <c r="BU81" s="931">
        <v>0.04</v>
      </c>
      <c r="BV81" s="898" t="s">
        <v>1363</v>
      </c>
      <c r="BW81" s="905"/>
      <c r="BX81" s="251"/>
    </row>
    <row r="82" spans="18:77"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BO82" s="88"/>
      <c r="BP82" s="88"/>
      <c r="BQ82" s="88"/>
      <c r="BR82" s="88"/>
      <c r="BS82" s="942"/>
      <c r="BT82" s="1067"/>
      <c r="BU82" s="1068">
        <f>SUM(BU58:BU81)</f>
        <v>0.9858813130893912</v>
      </c>
      <c r="BV82" s="1069"/>
      <c r="BW82" s="1070"/>
      <c r="BX82" s="251"/>
    </row>
    <row r="83" spans="18:77"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BO83" s="88"/>
      <c r="BP83" s="88"/>
      <c r="BQ83" s="88"/>
      <c r="BR83" s="88"/>
      <c r="BS83" s="941" t="s">
        <v>1321</v>
      </c>
      <c r="BT83" s="904">
        <f>BT56*BU83</f>
        <v>3238099255.6224957</v>
      </c>
      <c r="BU83" s="1065">
        <f>100%-BU82</f>
        <v>1.4118686910608802E-2</v>
      </c>
      <c r="BV83" s="898" t="s">
        <v>148</v>
      </c>
      <c r="BW83" s="905"/>
      <c r="BX83" s="251"/>
    </row>
    <row r="84" spans="18:77"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BO84" s="88"/>
      <c r="BP84" s="88"/>
      <c r="BQ84" s="88"/>
      <c r="BR84" s="88"/>
      <c r="BS84" s="943" t="s">
        <v>1322</v>
      </c>
      <c r="BT84" s="1071">
        <f>SUM(BT58:BT83)</f>
        <v>229348471010.38705</v>
      </c>
      <c r="BU84" s="1072">
        <f>BU82+BU83</f>
        <v>1</v>
      </c>
      <c r="BV84" s="1073" t="s">
        <v>59</v>
      </c>
      <c r="BW84" s="1074"/>
      <c r="BX84" s="251"/>
    </row>
    <row r="85" spans="18:77" x14ac:dyDescent="0.3">
      <c r="R85" s="88"/>
      <c r="S85" s="88"/>
      <c r="T85" s="88"/>
      <c r="U85" s="88"/>
      <c r="V85" s="88"/>
      <c r="AD85" s="960">
        <f t="shared" si="32"/>
        <v>2027</v>
      </c>
      <c r="AE85" s="691">
        <f t="shared" si="31"/>
        <v>7140375591.7544937</v>
      </c>
      <c r="AF85" s="963">
        <f t="shared" si="28"/>
        <v>2.5000000000000001E-2</v>
      </c>
      <c r="AG85" s="691">
        <f t="shared" si="29"/>
        <v>178509389.79386234</v>
      </c>
      <c r="BO85" s="88"/>
      <c r="BP85" s="88"/>
      <c r="BQ85" s="88"/>
      <c r="BR85" s="88"/>
      <c r="BS85" s="943" t="s">
        <v>1329</v>
      </c>
      <c r="BT85" s="179">
        <f>BT59+BT60+BT61+BT62+BT63</f>
        <v>57337117752.596794</v>
      </c>
      <c r="BU85" s="160"/>
      <c r="BV85" s="160" t="s">
        <v>1364</v>
      </c>
      <c r="BW85" s="303"/>
      <c r="BX85" s="251"/>
    </row>
    <row r="86" spans="18:77" x14ac:dyDescent="0.3">
      <c r="AD86" s="960">
        <f t="shared" si="32"/>
        <v>2028</v>
      </c>
      <c r="AE86" s="691">
        <f t="shared" si="31"/>
        <v>7318884981.5483561</v>
      </c>
      <c r="AF86" s="963">
        <f t="shared" si="28"/>
        <v>2.5000000000000001E-2</v>
      </c>
      <c r="AG86" s="691">
        <f t="shared" si="29"/>
        <v>182972124.53870893</v>
      </c>
      <c r="BO86" s="88"/>
      <c r="BP86" s="88"/>
      <c r="BQ86" s="88"/>
      <c r="BR86" s="88"/>
      <c r="BS86" s="364"/>
      <c r="BT86" s="1075"/>
      <c r="BU86" s="1076"/>
      <c r="BV86" s="1076"/>
      <c r="BW86" s="1077"/>
      <c r="BX86" s="251"/>
    </row>
    <row r="87" spans="18:77" x14ac:dyDescent="0.3">
      <c r="AD87" s="960">
        <f t="shared" si="32"/>
        <v>2029</v>
      </c>
      <c r="AE87" s="691">
        <f t="shared" si="31"/>
        <v>7501857106.0870647</v>
      </c>
      <c r="AF87" s="963">
        <f t="shared" si="28"/>
        <v>2.5000000000000001E-2</v>
      </c>
      <c r="AG87" s="691">
        <f t="shared" si="29"/>
        <v>187546427.65217662</v>
      </c>
      <c r="BO87" s="88"/>
      <c r="BP87" s="88"/>
      <c r="BQ87" s="88"/>
      <c r="BR87" s="88"/>
      <c r="BS87" s="1007" t="s">
        <v>1336</v>
      </c>
      <c r="BT87" s="1066">
        <f>AA72</f>
        <v>59326282323.071487</v>
      </c>
      <c r="BU87" s="251" t="s">
        <v>1335</v>
      </c>
      <c r="BV87" s="251"/>
      <c r="BW87" s="251"/>
      <c r="BX87" s="251"/>
    </row>
    <row r="88" spans="18:77" x14ac:dyDescent="0.3">
      <c r="AD88" s="960">
        <f t="shared" si="32"/>
        <v>2030</v>
      </c>
      <c r="AE88" s="691">
        <f t="shared" si="31"/>
        <v>7689403533.7392416</v>
      </c>
      <c r="AF88" s="963">
        <f t="shared" si="28"/>
        <v>2.5000000000000001E-2</v>
      </c>
      <c r="AG88" s="691">
        <f t="shared" si="29"/>
        <v>192235088.34348106</v>
      </c>
      <c r="BO88" s="88"/>
      <c r="BP88" s="88"/>
      <c r="BQ88" s="88"/>
      <c r="BR88" s="88"/>
      <c r="BS88" s="1008" t="s">
        <v>1337</v>
      </c>
      <c r="BT88" s="1009">
        <f>W72</f>
        <v>1989164570.4746923</v>
      </c>
      <c r="BU88" s="898" t="s">
        <v>1338</v>
      </c>
      <c r="BV88" s="898"/>
      <c r="BW88" s="251"/>
      <c r="BX88" s="251"/>
    </row>
    <row r="89" spans="18:77" x14ac:dyDescent="0.3">
      <c r="AD89" s="960">
        <f t="shared" si="32"/>
        <v>2031</v>
      </c>
      <c r="AE89" s="691">
        <f t="shared" si="31"/>
        <v>7881638622.0827227</v>
      </c>
      <c r="AF89" s="963">
        <f t="shared" si="28"/>
        <v>2.5000000000000001E-2</v>
      </c>
      <c r="AG89" s="691">
        <f t="shared" si="29"/>
        <v>197040965.55206808</v>
      </c>
      <c r="BO89" s="88"/>
      <c r="BP89" s="88"/>
      <c r="BQ89" s="88"/>
      <c r="BR89" s="88"/>
      <c r="BS89" s="106"/>
      <c r="BT89" s="745"/>
      <c r="BU89" s="251"/>
      <c r="BV89" s="251"/>
      <c r="BW89" s="251"/>
      <c r="BX89" s="251"/>
      <c r="BY89" s="252"/>
    </row>
    <row r="90" spans="18:77" x14ac:dyDescent="0.3">
      <c r="AD90" s="960">
        <f t="shared" si="32"/>
        <v>2032</v>
      </c>
      <c r="AE90" s="691">
        <f t="shared" si="31"/>
        <v>8078679587.6347904</v>
      </c>
      <c r="AF90" s="963">
        <f t="shared" si="28"/>
        <v>2.5000000000000001E-2</v>
      </c>
      <c r="AG90" s="691">
        <f t="shared" si="29"/>
        <v>201966989.69086978</v>
      </c>
      <c r="BO90" s="88"/>
      <c r="BP90" s="88"/>
      <c r="BQ90" s="88"/>
      <c r="BR90" s="88"/>
      <c r="BT90" s="999" t="s">
        <v>1355</v>
      </c>
      <c r="BU90" s="252"/>
      <c r="BV90" s="252"/>
      <c r="BW90" s="252"/>
      <c r="BX90" s="252"/>
      <c r="BY90" s="252"/>
    </row>
    <row r="91" spans="18:77" x14ac:dyDescent="0.3">
      <c r="AD91" s="960">
        <f t="shared" si="32"/>
        <v>2033</v>
      </c>
      <c r="AE91" s="691">
        <f t="shared" si="31"/>
        <v>8280646577.3256598</v>
      </c>
      <c r="AF91" s="963">
        <f t="shared" si="28"/>
        <v>2.5000000000000001E-2</v>
      </c>
      <c r="AG91" s="691">
        <f t="shared" si="29"/>
        <v>207016164.4331415</v>
      </c>
      <c r="BO91" s="88"/>
      <c r="BP91" s="88"/>
      <c r="BQ91" s="88"/>
      <c r="BR91" s="88"/>
      <c r="BU91" s="252"/>
      <c r="BV91" s="252"/>
      <c r="BW91" s="252"/>
      <c r="BX91" s="252"/>
      <c r="BY91" s="252"/>
    </row>
    <row r="92" spans="18:77" x14ac:dyDescent="0.3">
      <c r="AD92" s="960">
        <f t="shared" si="32"/>
        <v>2034</v>
      </c>
      <c r="AE92" s="691">
        <f t="shared" si="31"/>
        <v>8487662741.7588015</v>
      </c>
      <c r="AF92" s="963">
        <f t="shared" si="28"/>
        <v>2.5000000000000001E-2</v>
      </c>
      <c r="AG92" s="691">
        <f t="shared" si="29"/>
        <v>212191568.54397005</v>
      </c>
      <c r="BO92" s="88"/>
      <c r="BP92" s="88"/>
      <c r="BQ92" s="88"/>
      <c r="BR92" s="252"/>
      <c r="BU92" s="252"/>
      <c r="BV92" s="252"/>
      <c r="BW92" s="252"/>
      <c r="BX92" s="252"/>
      <c r="BY92" s="252"/>
    </row>
    <row r="93" spans="18:77" x14ac:dyDescent="0.3">
      <c r="AD93" s="960">
        <f t="shared" si="32"/>
        <v>2035</v>
      </c>
      <c r="AE93" s="691">
        <f t="shared" si="31"/>
        <v>8699854310.3027706</v>
      </c>
      <c r="AF93" s="963">
        <f t="shared" si="28"/>
        <v>2.5000000000000001E-2</v>
      </c>
      <c r="AG93" s="691">
        <f t="shared" si="29"/>
        <v>217496357.75756928</v>
      </c>
      <c r="BU93" s="252"/>
      <c r="BV93" s="252"/>
      <c r="BW93" s="252"/>
      <c r="BX93" s="252"/>
      <c r="BY93" s="252"/>
    </row>
    <row r="94" spans="18:77" x14ac:dyDescent="0.3">
      <c r="AD94" s="960">
        <f t="shared" si="32"/>
        <v>2036</v>
      </c>
      <c r="AE94" s="691">
        <f t="shared" si="31"/>
        <v>8917350668.060339</v>
      </c>
      <c r="AF94" s="963">
        <f t="shared" si="28"/>
        <v>2.5000000000000001E-2</v>
      </c>
      <c r="AG94" s="691">
        <f t="shared" si="29"/>
        <v>222933766.70150849</v>
      </c>
      <c r="BU94" s="252"/>
      <c r="BV94" s="252"/>
      <c r="BW94" s="252"/>
      <c r="BX94" s="252"/>
      <c r="BY94" s="252"/>
    </row>
    <row r="95" spans="18:77" x14ac:dyDescent="0.3">
      <c r="AD95" s="960">
        <f t="shared" si="32"/>
        <v>2037</v>
      </c>
      <c r="AE95" s="691">
        <f t="shared" si="31"/>
        <v>9140284434.7618465</v>
      </c>
      <c r="AF95" s="963">
        <f t="shared" si="28"/>
        <v>2.5000000000000001E-2</v>
      </c>
      <c r="AG95" s="691">
        <f t="shared" si="29"/>
        <v>228507110.86904618</v>
      </c>
      <c r="BU95" s="252"/>
      <c r="BV95" s="252"/>
      <c r="BW95" s="252"/>
      <c r="BX95" s="252"/>
      <c r="BY95" s="252"/>
    </row>
    <row r="96" spans="18:77" x14ac:dyDescent="0.3">
      <c r="AD96" s="960">
        <f t="shared" si="32"/>
        <v>2038</v>
      </c>
      <c r="AE96" s="691">
        <f t="shared" si="31"/>
        <v>9368791545.6308918</v>
      </c>
      <c r="AF96" s="963">
        <f t="shared" si="28"/>
        <v>2.5000000000000001E-2</v>
      </c>
      <c r="AG96" s="691">
        <f t="shared" si="29"/>
        <v>234219788.64077231</v>
      </c>
      <c r="BU96" s="252"/>
      <c r="BV96" s="252"/>
      <c r="BW96" s="252"/>
      <c r="BX96" s="252"/>
      <c r="BY96" s="252"/>
    </row>
    <row r="97" spans="30:77" x14ac:dyDescent="0.3">
      <c r="AD97" s="960">
        <f t="shared" si="32"/>
        <v>2039</v>
      </c>
      <c r="AE97" s="691">
        <f t="shared" si="31"/>
        <v>9603011334.2716637</v>
      </c>
      <c r="AF97" s="963">
        <f t="shared" si="28"/>
        <v>2.5000000000000001E-2</v>
      </c>
      <c r="AG97" s="691">
        <f t="shared" si="29"/>
        <v>240075283.35679162</v>
      </c>
      <c r="BU97" s="252"/>
      <c r="BV97" s="252"/>
      <c r="BW97" s="252"/>
      <c r="BX97" s="252"/>
      <c r="BY97" s="252"/>
    </row>
    <row r="98" spans="30:77" x14ac:dyDescent="0.3">
      <c r="AD98" s="960">
        <f t="shared" si="32"/>
        <v>2040</v>
      </c>
      <c r="AE98" s="691">
        <f t="shared" si="31"/>
        <v>9843086617.6284561</v>
      </c>
      <c r="AF98" s="963">
        <f t="shared" si="28"/>
        <v>2.5000000000000001E-2</v>
      </c>
      <c r="AG98" s="691">
        <f t="shared" si="29"/>
        <v>246077165.44071141</v>
      </c>
    </row>
    <row r="99" spans="30:77" x14ac:dyDescent="0.3">
      <c r="AD99" s="960">
        <f t="shared" si="32"/>
        <v>2041</v>
      </c>
      <c r="AE99" s="691">
        <f t="shared" si="31"/>
        <v>10089163783.069168</v>
      </c>
      <c r="AF99" s="963">
        <f t="shared" si="28"/>
        <v>2.5000000000000001E-2</v>
      </c>
      <c r="AG99" s="691">
        <f t="shared" si="29"/>
        <v>252229094.57672921</v>
      </c>
    </row>
    <row r="100" spans="30:77" x14ac:dyDescent="0.3">
      <c r="AD100" s="960">
        <f t="shared" si="32"/>
        <v>2042</v>
      </c>
      <c r="AE100" s="691">
        <f t="shared" si="31"/>
        <v>10341392877.645897</v>
      </c>
      <c r="AF100" s="963">
        <f t="shared" si="28"/>
        <v>2.5000000000000001E-2</v>
      </c>
      <c r="AG100" s="691">
        <f t="shared" si="29"/>
        <v>258534821.94114745</v>
      </c>
    </row>
    <row r="101" spans="30:77" x14ac:dyDescent="0.3">
      <c r="AD101" s="960">
        <f t="shared" si="32"/>
        <v>2043</v>
      </c>
      <c r="AE101" s="691">
        <f t="shared" si="31"/>
        <v>10599927699.587044</v>
      </c>
      <c r="AF101" s="963">
        <f t="shared" si="28"/>
        <v>2.5000000000000001E-2</v>
      </c>
      <c r="AG101" s="691">
        <f t="shared" si="29"/>
        <v>264998192.48967612</v>
      </c>
    </row>
    <row r="102" spans="30:77" x14ac:dyDescent="0.3">
      <c r="AD102" s="960">
        <f t="shared" si="32"/>
        <v>2044</v>
      </c>
      <c r="AE102" s="691">
        <f t="shared" si="31"/>
        <v>10864925892.076719</v>
      </c>
      <c r="AF102" s="963">
        <f t="shared" si="28"/>
        <v>2.5000000000000001E-2</v>
      </c>
      <c r="AG102" s="691">
        <f t="shared" si="29"/>
        <v>271623147.30191797</v>
      </c>
    </row>
    <row r="103" spans="30:77" x14ac:dyDescent="0.3">
      <c r="AD103" s="960">
        <f t="shared" si="32"/>
        <v>2045</v>
      </c>
      <c r="AE103" s="691">
        <f t="shared" si="31"/>
        <v>11136549039.378637</v>
      </c>
      <c r="AF103" s="963">
        <f t="shared" si="28"/>
        <v>2.5000000000000001E-2</v>
      </c>
      <c r="AG103" s="691">
        <f t="shared" si="29"/>
        <v>278413725.98446596</v>
      </c>
    </row>
    <row r="104" spans="30:77" x14ac:dyDescent="0.3">
      <c r="AD104" s="960">
        <f t="shared" si="32"/>
        <v>2046</v>
      </c>
      <c r="AE104" s="691">
        <f t="shared" si="31"/>
        <v>11414962765.363104</v>
      </c>
      <c r="AF104" s="963">
        <f t="shared" si="28"/>
        <v>2.5000000000000001E-2</v>
      </c>
      <c r="AG104" s="691">
        <f t="shared" si="29"/>
        <v>285374069.13407761</v>
      </c>
    </row>
    <row r="105" spans="30:77" x14ac:dyDescent="0.3">
      <c r="AD105" s="960">
        <f t="shared" si="32"/>
        <v>2047</v>
      </c>
      <c r="AE105" s="691">
        <f t="shared" si="31"/>
        <v>11700336834.497181</v>
      </c>
      <c r="AF105" s="963">
        <f t="shared" si="28"/>
        <v>2.5000000000000001E-2</v>
      </c>
      <c r="AG105" s="691">
        <f t="shared" si="29"/>
        <v>292508420.86242956</v>
      </c>
    </row>
    <row r="106" spans="30:77"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86D45-5368-4516-8B92-824B01887BCD}">
  <dimension ref="A2:DE106"/>
  <sheetViews>
    <sheetView showGridLines="0" topLeftCell="BQ59" workbookViewId="0">
      <selection activeCell="BT39" sqref="BT39:BW3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2.55468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90"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CM2" s="916"/>
      <c r="CQ2" s="916"/>
      <c r="DB2" s="917"/>
      <c r="DC2" s="916"/>
    </row>
    <row r="3" spans="1:107" ht="25.95" customHeight="1" x14ac:dyDescent="0.5">
      <c r="C3" s="570" t="s">
        <v>1446</v>
      </c>
      <c r="F3" s="1081"/>
      <c r="G3" s="648"/>
      <c r="BT3" s="999" t="s">
        <v>1355</v>
      </c>
    </row>
    <row r="4" spans="1:107"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row>
    <row r="5" spans="1:107" ht="18.600000000000001" x14ac:dyDescent="0.45">
      <c r="C5" s="37" t="s">
        <v>972</v>
      </c>
      <c r="D5" s="619"/>
      <c r="E5" s="408">
        <f>E11</f>
        <v>11313614720.028084</v>
      </c>
      <c r="F5" s="1082">
        <v>1</v>
      </c>
      <c r="G5" s="408">
        <f>E5*F5</f>
        <v>11313614720.028084</v>
      </c>
      <c r="H5" s="409">
        <v>0.98</v>
      </c>
      <c r="I5" s="408">
        <f>G5*H5</f>
        <v>11087342425.627522</v>
      </c>
      <c r="J5" s="409">
        <v>1</v>
      </c>
      <c r="K5" s="408">
        <f>I5*J5</f>
        <v>11087342425.627522</v>
      </c>
      <c r="L5" s="409">
        <f>H5</f>
        <v>0.98</v>
      </c>
      <c r="M5" s="408">
        <f>K5*L5</f>
        <v>10865595577.114971</v>
      </c>
      <c r="N5" s="409">
        <f>J5</f>
        <v>1</v>
      </c>
      <c r="O5" s="408">
        <f>M5*N5</f>
        <v>10865595577.114971</v>
      </c>
      <c r="P5" s="409">
        <f>L5</f>
        <v>0.98</v>
      </c>
      <c r="Q5" s="408">
        <f>O5*P5</f>
        <v>10648283665.572672</v>
      </c>
      <c r="R5" s="409">
        <f>N5</f>
        <v>1</v>
      </c>
      <c r="S5" s="408">
        <f>Q5*R5</f>
        <v>10648283665.572672</v>
      </c>
      <c r="T5" s="409">
        <f>P5</f>
        <v>0.98</v>
      </c>
      <c r="U5" s="408">
        <f>S5*T5</f>
        <v>10435317992.261219</v>
      </c>
      <c r="V5" s="409">
        <f>R5</f>
        <v>1</v>
      </c>
      <c r="W5" s="408">
        <f>U5*V5</f>
        <v>10435317992.261219</v>
      </c>
      <c r="X5" s="409">
        <f>T5</f>
        <v>0.98</v>
      </c>
      <c r="Y5" s="408">
        <f>W5*X5</f>
        <v>10226611632.415995</v>
      </c>
      <c r="Z5" s="409">
        <f>V5</f>
        <v>1</v>
      </c>
      <c r="AA5" s="408">
        <f>Y5*Z5</f>
        <v>10226611632.415995</v>
      </c>
      <c r="AB5" s="409">
        <f>X5</f>
        <v>0.98</v>
      </c>
      <c r="AC5" s="408">
        <f>AA5*AB5</f>
        <v>10022079399.767675</v>
      </c>
      <c r="AD5" s="409">
        <f>Z5</f>
        <v>1</v>
      </c>
      <c r="AE5" s="408">
        <f>AC5*AD5</f>
        <v>10022079399.767675</v>
      </c>
      <c r="AF5" s="409">
        <f>AB5</f>
        <v>0.98</v>
      </c>
      <c r="AG5" s="408">
        <f>AE5*AF5</f>
        <v>9821637811.7723217</v>
      </c>
      <c r="AH5" s="409">
        <f>AD5</f>
        <v>1</v>
      </c>
      <c r="AI5" s="408">
        <f>AG5*AH5</f>
        <v>9821637811.7723217</v>
      </c>
      <c r="AJ5" s="409">
        <f>AF5</f>
        <v>0.98</v>
      </c>
      <c r="AK5" s="408">
        <f>AI5*AJ5</f>
        <v>9625205055.5368748</v>
      </c>
      <c r="AL5" s="409">
        <f>AH5</f>
        <v>1</v>
      </c>
      <c r="AM5" s="408">
        <f>AK5*AL5</f>
        <v>9625205055.5368748</v>
      </c>
      <c r="AN5" s="409">
        <f>AJ5</f>
        <v>0.98</v>
      </c>
      <c r="AO5" s="408">
        <f>AM5*AN5</f>
        <v>9432700954.4261379</v>
      </c>
      <c r="AP5" s="409">
        <f>AL5</f>
        <v>1</v>
      </c>
      <c r="AQ5" s="408">
        <f>AO5*AP5</f>
        <v>9432700954.4261379</v>
      </c>
      <c r="AR5" s="409">
        <f>AN5</f>
        <v>0.98</v>
      </c>
      <c r="AS5" s="408">
        <f>AQ5*AR5</f>
        <v>9244046935.3376141</v>
      </c>
      <c r="AT5" s="409">
        <f>AP5</f>
        <v>1</v>
      </c>
      <c r="AU5" s="408">
        <f>AS5*AT5</f>
        <v>9244046935.3376141</v>
      </c>
      <c r="AV5" s="409">
        <f>AR5</f>
        <v>0.98</v>
      </c>
      <c r="AW5" s="408">
        <f>AU5*AV5</f>
        <v>9059165996.6308613</v>
      </c>
      <c r="AX5" s="409">
        <f>AT5</f>
        <v>1</v>
      </c>
      <c r="AY5" s="408">
        <f>AW5*AX5</f>
        <v>9059165996.6308613</v>
      </c>
      <c r="AZ5" s="409">
        <f>AV5</f>
        <v>0.98</v>
      </c>
      <c r="BA5" s="408">
        <f>AY5*AZ5</f>
        <v>8877982676.6982441</v>
      </c>
      <c r="BB5" s="409">
        <f>AX5</f>
        <v>1</v>
      </c>
      <c r="BC5" s="408">
        <f>BA5*BB5</f>
        <v>8877982676.6982441</v>
      </c>
      <c r="BD5" s="409">
        <f>AR5</f>
        <v>0.98</v>
      </c>
      <c r="BE5" s="408">
        <f>BC5*BD5</f>
        <v>8700423023.1642799</v>
      </c>
      <c r="BF5" s="409">
        <f>AT5</f>
        <v>1</v>
      </c>
      <c r="BG5" s="408">
        <f>BE5*BF5</f>
        <v>8700423023.1642799</v>
      </c>
      <c r="BH5" s="409">
        <f>BD5</f>
        <v>0.98</v>
      </c>
      <c r="BI5" s="408">
        <f>BG5*BH5</f>
        <v>8526414562.7009945</v>
      </c>
      <c r="BJ5" s="409">
        <f>BF5</f>
        <v>1</v>
      </c>
      <c r="BK5" s="408">
        <f>BI5*BJ5</f>
        <v>8526414562.7009945</v>
      </c>
      <c r="BL5" s="409">
        <f>AB5</f>
        <v>0.98</v>
      </c>
      <c r="BM5" s="408">
        <f>BK5*BL5</f>
        <v>8355886271.4469748</v>
      </c>
      <c r="BN5" s="409">
        <f>AD5</f>
        <v>1</v>
      </c>
      <c r="BO5" s="408">
        <f>BM5*BN5</f>
        <v>8355886271.4469748</v>
      </c>
      <c r="BP5" s="409">
        <f>BL5</f>
        <v>0.98</v>
      </c>
      <c r="BQ5" s="408">
        <f>BO5*BP5</f>
        <v>8188768546.0180349</v>
      </c>
      <c r="BR5" s="409">
        <f>BN5</f>
        <v>1</v>
      </c>
      <c r="BS5" s="408">
        <f>BQ5*BR5</f>
        <v>8188768546.0180349</v>
      </c>
      <c r="BT5" s="719">
        <f>G5+I5+M5+Q5+U5+Y5+AC5+AG5+AK5+AO5+AS5+AW5+BA5+BE5+BI5+BM5+BQ5</f>
        <v>164431077246.52045</v>
      </c>
      <c r="BV5" s="621">
        <f>BP5</f>
        <v>0.98</v>
      </c>
      <c r="BW5" s="622">
        <f>BS5*BV5</f>
        <v>8024993175.0976744</v>
      </c>
      <c r="BX5" s="626"/>
      <c r="BY5" s="626"/>
      <c r="BZ5" s="627"/>
    </row>
    <row r="6" spans="1:107" x14ac:dyDescent="0.3">
      <c r="F6" s="1081"/>
      <c r="BT6" s="93"/>
      <c r="BZ6" s="628"/>
    </row>
    <row r="7" spans="1:107"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462" t="s">
        <v>749</v>
      </c>
      <c r="BM7" s="170" t="s">
        <v>1463</v>
      </c>
      <c r="BN7" s="175" t="s">
        <v>297</v>
      </c>
      <c r="BO7" s="170" t="s">
        <v>59</v>
      </c>
      <c r="BP7" s="301" t="s">
        <v>749</v>
      </c>
      <c r="BQ7" s="121" t="s">
        <v>1464</v>
      </c>
      <c r="BR7" s="173" t="s">
        <v>297</v>
      </c>
      <c r="BS7" s="121" t="s">
        <v>59</v>
      </c>
      <c r="BT7" s="121" t="s">
        <v>1457</v>
      </c>
      <c r="BV7" s="588" t="s">
        <v>1367</v>
      </c>
      <c r="BW7" s="121" t="s">
        <v>1372</v>
      </c>
      <c r="BZ7" s="628"/>
    </row>
    <row r="8" spans="1:107" x14ac:dyDescent="0.3">
      <c r="B8" s="584"/>
      <c r="C8" s="7"/>
      <c r="E8" s="875">
        <f>BT47</f>
        <v>22627229440.056168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586" t="s">
        <v>1371</v>
      </c>
      <c r="BM8" s="470"/>
      <c r="BN8" s="471"/>
      <c r="BO8" s="470"/>
      <c r="BP8" s="587" t="s">
        <v>1371</v>
      </c>
      <c r="BQ8" s="303"/>
      <c r="BR8" s="179"/>
      <c r="BS8" s="303"/>
      <c r="BT8" s="126"/>
      <c r="BV8" s="589" t="s">
        <v>1371</v>
      </c>
      <c r="BW8" s="303"/>
      <c r="BZ8" s="628"/>
    </row>
    <row r="9" spans="1:107"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122"/>
      <c r="BQ9" s="459" t="s">
        <v>282</v>
      </c>
      <c r="BR9" s="122"/>
      <c r="BS9" s="8"/>
      <c r="BT9" s="126"/>
      <c r="BV9" s="122"/>
      <c r="BW9" s="459" t="s">
        <v>282</v>
      </c>
      <c r="BZ9" s="628"/>
    </row>
    <row r="10" spans="1:107" ht="16.2" thickBot="1" x14ac:dyDescent="0.35">
      <c r="B10" s="585"/>
      <c r="C10" s="1211"/>
      <c r="D10" s="630" t="s">
        <v>953</v>
      </c>
      <c r="E10" s="994">
        <f>BU53</f>
        <v>1024</v>
      </c>
      <c r="F10" s="1085">
        <v>0.25</v>
      </c>
      <c r="G10" s="130">
        <f>E14*F10</f>
        <v>314386679.74938524</v>
      </c>
      <c r="H10" s="460">
        <v>0.5</v>
      </c>
      <c r="I10" s="130">
        <f>G10*H10</f>
        <v>157193339.87469262</v>
      </c>
      <c r="J10" s="460">
        <v>1</v>
      </c>
      <c r="K10" s="458">
        <f>I10*J10</f>
        <v>157193339.87469262</v>
      </c>
      <c r="L10" s="129">
        <f>H10</f>
        <v>0.5</v>
      </c>
      <c r="M10" s="458">
        <f>K10*L10</f>
        <v>78596669.937346309</v>
      </c>
      <c r="N10" s="129">
        <f>J10</f>
        <v>1</v>
      </c>
      <c r="O10" s="458">
        <f>M10*N10</f>
        <v>78596669.937346309</v>
      </c>
      <c r="P10" s="129">
        <f>L10</f>
        <v>0.5</v>
      </c>
      <c r="Q10" s="458">
        <f>O10*P10</f>
        <v>39298334.968673155</v>
      </c>
      <c r="R10" s="129">
        <f>N10</f>
        <v>1</v>
      </c>
      <c r="S10" s="458">
        <f>Q10*R10</f>
        <v>39298334.968673155</v>
      </c>
      <c r="T10" s="129">
        <f>P10</f>
        <v>0.5</v>
      </c>
      <c r="U10" s="458">
        <f>S10*T10</f>
        <v>19649167.484336577</v>
      </c>
      <c r="V10" s="129">
        <f>R10</f>
        <v>1</v>
      </c>
      <c r="W10" s="458">
        <f>U10*V10</f>
        <v>19649167.484336577</v>
      </c>
      <c r="X10" s="129">
        <f>T10</f>
        <v>0.5</v>
      </c>
      <c r="Y10" s="458">
        <f>W10*X10</f>
        <v>9824583.7421682887</v>
      </c>
      <c r="Z10" s="129">
        <f>V10</f>
        <v>1</v>
      </c>
      <c r="AA10" s="458">
        <f>Y10*Z10</f>
        <v>9824583.7421682887</v>
      </c>
      <c r="AB10" s="129">
        <f>X10</f>
        <v>0.5</v>
      </c>
      <c r="AC10" s="458">
        <f>AA10*AB10</f>
        <v>4912291.8710841443</v>
      </c>
      <c r="AD10" s="129">
        <f>Z10</f>
        <v>1</v>
      </c>
      <c r="AE10" s="458">
        <f>AC10*AD10</f>
        <v>4912291.8710841443</v>
      </c>
      <c r="AF10" s="129">
        <f>AB10</f>
        <v>0.5</v>
      </c>
      <c r="AG10" s="458">
        <f>AE10*AF10</f>
        <v>2456145.9355420722</v>
      </c>
      <c r="AH10" s="129">
        <f>AD10</f>
        <v>1</v>
      </c>
      <c r="AI10" s="458">
        <f>AG10*AH10</f>
        <v>2456145.9355420722</v>
      </c>
      <c r="AJ10" s="129">
        <f>AF10</f>
        <v>0.5</v>
      </c>
      <c r="AK10" s="458">
        <f>AI10*AJ10</f>
        <v>1228072.9677710361</v>
      </c>
      <c r="AL10" s="129">
        <f>AH10</f>
        <v>1</v>
      </c>
      <c r="AM10" s="458">
        <f>AK10*AL10</f>
        <v>1228072.9677710361</v>
      </c>
      <c r="AN10" s="129">
        <f>AJ10</f>
        <v>0.5</v>
      </c>
      <c r="AO10" s="458">
        <f>AM10*AN10</f>
        <v>614036.48388551804</v>
      </c>
      <c r="AP10" s="129">
        <f>AL10</f>
        <v>1</v>
      </c>
      <c r="AQ10" s="458">
        <f>AO10*AP10</f>
        <v>614036.48388551804</v>
      </c>
      <c r="AR10" s="129">
        <f>AN10</f>
        <v>0.5</v>
      </c>
      <c r="AS10" s="458">
        <f>AQ10*AR10</f>
        <v>307018.24194275902</v>
      </c>
      <c r="AT10" s="129">
        <f>AP10</f>
        <v>1</v>
      </c>
      <c r="AU10" s="458">
        <f>AS10*AT10</f>
        <v>307018.24194275902</v>
      </c>
      <c r="AV10" s="129">
        <f>AR10</f>
        <v>0.5</v>
      </c>
      <c r="AW10" s="458">
        <f>AU10*AV10</f>
        <v>153509.12097137951</v>
      </c>
      <c r="AX10" s="129">
        <f>AT10</f>
        <v>1</v>
      </c>
      <c r="AY10" s="458">
        <f>AW10*AX10</f>
        <v>153509.12097137951</v>
      </c>
      <c r="AZ10" s="129">
        <f>AV10</f>
        <v>0.5</v>
      </c>
      <c r="BA10" s="458">
        <f>AY10*AZ10</f>
        <v>76754.560485689755</v>
      </c>
      <c r="BB10" s="129">
        <f>AX10</f>
        <v>1</v>
      </c>
      <c r="BC10" s="458">
        <f>BA10*BB10</f>
        <v>76754.560485689755</v>
      </c>
      <c r="BD10" s="129">
        <f>AR10</f>
        <v>0.5</v>
      </c>
      <c r="BE10" s="458">
        <f>BC10*BD10</f>
        <v>38377.280242844878</v>
      </c>
      <c r="BF10" s="129">
        <f>AT10</f>
        <v>1</v>
      </c>
      <c r="BG10" s="458">
        <f>BE10*BF10</f>
        <v>38377.280242844878</v>
      </c>
      <c r="BH10" s="129">
        <f>BD10</f>
        <v>0.5</v>
      </c>
      <c r="BI10" s="458">
        <f>BG10*BH10</f>
        <v>19188.640121422439</v>
      </c>
      <c r="BJ10" s="129">
        <f>BF10</f>
        <v>1</v>
      </c>
      <c r="BK10" s="458">
        <f>BI10*BJ10</f>
        <v>19188.640121422439</v>
      </c>
      <c r="BL10" s="129">
        <f>AB10</f>
        <v>0.5</v>
      </c>
      <c r="BM10" s="458">
        <f>BK10*BL10</f>
        <v>9594.3200607112194</v>
      </c>
      <c r="BN10" s="129">
        <f>AD10</f>
        <v>1</v>
      </c>
      <c r="BO10" s="458">
        <f>BM10*BN10</f>
        <v>9594.3200607112194</v>
      </c>
      <c r="BP10" s="129">
        <f>BL10</f>
        <v>0.5</v>
      </c>
      <c r="BQ10" s="458">
        <f>BO10*BP10</f>
        <v>4797.1600303556097</v>
      </c>
      <c r="BR10" s="129">
        <f>BN10</f>
        <v>1</v>
      </c>
      <c r="BS10" s="458">
        <f>BQ10*BR10</f>
        <v>4797.1600303556097</v>
      </c>
      <c r="BT10" s="719">
        <f>G10+I10+M10+Q10+U10+Y10+AC10+AG10+AK10+AO10+AS10+AW10+BA10+BE10+BI10+BM10+BQ10</f>
        <v>628768562.33874011</v>
      </c>
      <c r="BV10" s="590">
        <f>BP10</f>
        <v>0.5</v>
      </c>
      <c r="BW10" s="458">
        <f>BS10*BV10</f>
        <v>2398.5800151778049</v>
      </c>
      <c r="BX10" s="623"/>
      <c r="BY10" s="624"/>
      <c r="BZ10" s="628"/>
    </row>
    <row r="11" spans="1:107" ht="16.2" thickBot="1" x14ac:dyDescent="0.35">
      <c r="B11" s="585"/>
      <c r="C11" s="1078"/>
      <c r="D11" s="630" t="s">
        <v>1291</v>
      </c>
      <c r="E11" s="631">
        <f>E8/2</f>
        <v>11313614720.028084</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122"/>
      <c r="BQ11" s="457" t="s">
        <v>283</v>
      </c>
      <c r="BR11" s="122"/>
      <c r="BS11" s="8"/>
      <c r="BT11" s="126"/>
      <c r="BV11" s="122"/>
      <c r="BW11" s="457" t="s">
        <v>283</v>
      </c>
      <c r="BX11" s="623"/>
      <c r="BY11" s="623"/>
      <c r="BZ11" s="628"/>
    </row>
    <row r="12" spans="1:107" ht="16.2" thickBot="1" x14ac:dyDescent="0.35">
      <c r="B12" s="584"/>
      <c r="E12" s="997">
        <f>E9*E10</f>
        <v>0</v>
      </c>
      <c r="F12" s="1086">
        <v>0.25</v>
      </c>
      <c r="G12" s="135">
        <f>E14*F12</f>
        <v>314386679.74938524</v>
      </c>
      <c r="H12" s="461">
        <v>0.98</v>
      </c>
      <c r="I12" s="135">
        <f>G12*H12</f>
        <v>308098946.15439755</v>
      </c>
      <c r="J12" s="461">
        <v>1</v>
      </c>
      <c r="K12" s="440">
        <f>I12*J12</f>
        <v>308098946.15439755</v>
      </c>
      <c r="L12" s="133">
        <f>H12</f>
        <v>0.98</v>
      </c>
      <c r="M12" s="440">
        <f>K12*L12</f>
        <v>301936967.23130959</v>
      </c>
      <c r="N12" s="133">
        <f>J12</f>
        <v>1</v>
      </c>
      <c r="O12" s="440">
        <f>M12*N12</f>
        <v>301936967.23130959</v>
      </c>
      <c r="P12" s="133">
        <f>L12</f>
        <v>0.98</v>
      </c>
      <c r="Q12" s="440">
        <f>O12*P12</f>
        <v>295898227.8866834</v>
      </c>
      <c r="R12" s="133">
        <f>N12</f>
        <v>1</v>
      </c>
      <c r="S12" s="440">
        <f>Q12*R12</f>
        <v>295898227.8866834</v>
      </c>
      <c r="T12" s="133">
        <f>P12</f>
        <v>0.98</v>
      </c>
      <c r="U12" s="440">
        <f>S12*T12</f>
        <v>289980263.32894975</v>
      </c>
      <c r="V12" s="133">
        <f>R12</f>
        <v>1</v>
      </c>
      <c r="W12" s="440">
        <f>U12*V12</f>
        <v>289980263.32894975</v>
      </c>
      <c r="X12" s="133">
        <f>T12</f>
        <v>0.98</v>
      </c>
      <c r="Y12" s="440">
        <f>W12*X12</f>
        <v>284180658.06237078</v>
      </c>
      <c r="Z12" s="133">
        <f>V12</f>
        <v>1</v>
      </c>
      <c r="AA12" s="440">
        <f>Y12*Z12</f>
        <v>284180658.06237078</v>
      </c>
      <c r="AB12" s="133">
        <f>X12</f>
        <v>0.98</v>
      </c>
      <c r="AC12" s="440">
        <f>AA12*AB12</f>
        <v>278497044.90112334</v>
      </c>
      <c r="AD12" s="133">
        <f>Z12</f>
        <v>1</v>
      </c>
      <c r="AE12" s="440">
        <f>AC12*AD12</f>
        <v>278497044.90112334</v>
      </c>
      <c r="AF12" s="133">
        <f>AB12</f>
        <v>0.98</v>
      </c>
      <c r="AG12" s="440">
        <f>AE12*AF12</f>
        <v>272927104.00310087</v>
      </c>
      <c r="AH12" s="133">
        <f>AD12</f>
        <v>1</v>
      </c>
      <c r="AI12" s="440">
        <f>AG12*AH12</f>
        <v>272927104.00310087</v>
      </c>
      <c r="AJ12" s="133">
        <f>AF12</f>
        <v>0.98</v>
      </c>
      <c r="AK12" s="440">
        <f>AI12*AJ12</f>
        <v>267468561.92303884</v>
      </c>
      <c r="AL12" s="133">
        <f>AH12</f>
        <v>1</v>
      </c>
      <c r="AM12" s="440">
        <f>AK12*AL12</f>
        <v>267468561.92303884</v>
      </c>
      <c r="AN12" s="133">
        <f>AJ12</f>
        <v>0.98</v>
      </c>
      <c r="AO12" s="440">
        <f>AM12*AN12</f>
        <v>262119190.68457806</v>
      </c>
      <c r="AP12" s="133">
        <f>AL12</f>
        <v>1</v>
      </c>
      <c r="AQ12" s="440">
        <f>AO12*AP12</f>
        <v>262119190.68457806</v>
      </c>
      <c r="AR12" s="133">
        <f>AN12</f>
        <v>0.98</v>
      </c>
      <c r="AS12" s="440">
        <f>AQ12*AR12</f>
        <v>256876806.8708865</v>
      </c>
      <c r="AT12" s="133">
        <f>AP12</f>
        <v>1</v>
      </c>
      <c r="AU12" s="440">
        <f>AS12*AT12</f>
        <v>256876806.8708865</v>
      </c>
      <c r="AV12" s="133">
        <f>AR12</f>
        <v>0.98</v>
      </c>
      <c r="AW12" s="440">
        <f>AU12*AV12</f>
        <v>251739270.73346877</v>
      </c>
      <c r="AX12" s="133">
        <f>AT12</f>
        <v>1</v>
      </c>
      <c r="AY12" s="440">
        <f>AW12*AX12</f>
        <v>251739270.73346877</v>
      </c>
      <c r="AZ12" s="133">
        <f>AV12</f>
        <v>0.98</v>
      </c>
      <c r="BA12" s="440">
        <f>AY12*AZ12</f>
        <v>246704485.31879938</v>
      </c>
      <c r="BB12" s="133">
        <f>AX12</f>
        <v>1</v>
      </c>
      <c r="BC12" s="440">
        <f>BA12*BB12</f>
        <v>246704485.31879938</v>
      </c>
      <c r="BD12" s="133">
        <f>AR12</f>
        <v>0.98</v>
      </c>
      <c r="BE12" s="440">
        <f>BC12*BD12</f>
        <v>241770395.61242339</v>
      </c>
      <c r="BF12" s="133">
        <f>AT12</f>
        <v>1</v>
      </c>
      <c r="BG12" s="440">
        <f>BE12*BF12</f>
        <v>241770395.61242339</v>
      </c>
      <c r="BH12" s="133">
        <f>BD12</f>
        <v>0.98</v>
      </c>
      <c r="BI12" s="440">
        <f>BG12*BH12</f>
        <v>236934987.70017493</v>
      </c>
      <c r="BJ12" s="133">
        <f>BF12</f>
        <v>1</v>
      </c>
      <c r="BK12" s="440">
        <f>BI12*BJ12</f>
        <v>236934987.70017493</v>
      </c>
      <c r="BL12" s="133">
        <f>AB12</f>
        <v>0.98</v>
      </c>
      <c r="BM12" s="440">
        <f>BK12*BL12</f>
        <v>232196287.94617143</v>
      </c>
      <c r="BN12" s="133">
        <f>AD12</f>
        <v>1</v>
      </c>
      <c r="BO12" s="440">
        <f>BM12*BN12</f>
        <v>232196287.94617143</v>
      </c>
      <c r="BP12" s="133">
        <f>BL12</f>
        <v>0.98</v>
      </c>
      <c r="BQ12" s="440">
        <f>BO12*BP12</f>
        <v>227552362.18724799</v>
      </c>
      <c r="BR12" s="133">
        <f>BN12</f>
        <v>1</v>
      </c>
      <c r="BS12" s="440">
        <f>BQ12*BR12</f>
        <v>227552362.18724799</v>
      </c>
      <c r="BT12" s="719">
        <f>G12+I12+M12+Q12+U12+Y12+AC12+AG12+AK12+AO12+AS12+AW12+BA12+BE12+BI12+BM12+BQ12</f>
        <v>4569268240.2941103</v>
      </c>
      <c r="BV12" s="591">
        <f>BP12</f>
        <v>0.98</v>
      </c>
      <c r="BW12" s="440">
        <f>BS12*BV12</f>
        <v>223001314.94350302</v>
      </c>
      <c r="BX12" s="623"/>
      <c r="BY12" s="624"/>
      <c r="BZ12" s="628"/>
    </row>
    <row r="13" spans="1:107"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122"/>
      <c r="BQ13" s="451" t="s">
        <v>284</v>
      </c>
      <c r="BR13" s="122"/>
      <c r="BS13" s="8"/>
      <c r="BT13" s="126"/>
      <c r="BV13" s="122"/>
      <c r="BW13" s="451" t="s">
        <v>284</v>
      </c>
      <c r="BX13" s="623"/>
      <c r="BY13" s="623"/>
      <c r="BZ13" s="628"/>
    </row>
    <row r="14" spans="1:107" ht="16.2" thickBot="1" x14ac:dyDescent="0.35">
      <c r="A14" s="162"/>
      <c r="B14" s="162"/>
      <c r="C14" s="137" t="s">
        <v>291</v>
      </c>
      <c r="D14" s="1212">
        <v>0.111153397929607</v>
      </c>
      <c r="E14" s="139">
        <f>E11*D14</f>
        <v>1257546718.997541</v>
      </c>
      <c r="F14" s="1088">
        <v>0.5</v>
      </c>
      <c r="G14" s="139">
        <f>E14*F14</f>
        <v>628773359.49877048</v>
      </c>
      <c r="H14" s="463">
        <v>0.98</v>
      </c>
      <c r="I14" s="139">
        <f>G14*H14</f>
        <v>616197892.30879509</v>
      </c>
      <c r="J14" s="463">
        <v>1</v>
      </c>
      <c r="K14" s="441">
        <f>I14*J14</f>
        <v>616197892.30879509</v>
      </c>
      <c r="L14" s="140">
        <f>H14</f>
        <v>0.98</v>
      </c>
      <c r="M14" s="441">
        <f>K14*L14</f>
        <v>603873934.46261919</v>
      </c>
      <c r="N14" s="140">
        <f>J14</f>
        <v>1</v>
      </c>
      <c r="O14" s="441">
        <f>M14*N14</f>
        <v>603873934.46261919</v>
      </c>
      <c r="P14" s="140">
        <f>L14</f>
        <v>0.98</v>
      </c>
      <c r="Q14" s="441">
        <f>O14*P14</f>
        <v>591796455.77336681</v>
      </c>
      <c r="R14" s="140">
        <f>N14</f>
        <v>1</v>
      </c>
      <c r="S14" s="441">
        <f>Q14*R14</f>
        <v>591796455.77336681</v>
      </c>
      <c r="T14" s="140">
        <f>P14</f>
        <v>0.98</v>
      </c>
      <c r="U14" s="441">
        <f>S14*T14</f>
        <v>579960526.6578995</v>
      </c>
      <c r="V14" s="140">
        <f>R14</f>
        <v>1</v>
      </c>
      <c r="W14" s="441">
        <f>U14*V14</f>
        <v>579960526.6578995</v>
      </c>
      <c r="X14" s="140">
        <f>T14</f>
        <v>0.98</v>
      </c>
      <c r="Y14" s="441">
        <f>W14*X14</f>
        <v>568361316.12474155</v>
      </c>
      <c r="Z14" s="140">
        <f>V14</f>
        <v>1</v>
      </c>
      <c r="AA14" s="441">
        <f>Y14*Z14</f>
        <v>568361316.12474155</v>
      </c>
      <c r="AB14" s="140">
        <f>X14</f>
        <v>0.98</v>
      </c>
      <c r="AC14" s="441">
        <f>AA14*AB14</f>
        <v>556994089.80224669</v>
      </c>
      <c r="AD14" s="140">
        <f>Z14</f>
        <v>1</v>
      </c>
      <c r="AE14" s="441">
        <f>AC14*AD14</f>
        <v>556994089.80224669</v>
      </c>
      <c r="AF14" s="140">
        <f>AB14</f>
        <v>0.98</v>
      </c>
      <c r="AG14" s="441">
        <f>AE14*AF14</f>
        <v>545854208.00620174</v>
      </c>
      <c r="AH14" s="140">
        <f>AD14</f>
        <v>1</v>
      </c>
      <c r="AI14" s="441">
        <f>AG14*AH14</f>
        <v>545854208.00620174</v>
      </c>
      <c r="AJ14" s="140">
        <f>AF14</f>
        <v>0.98</v>
      </c>
      <c r="AK14" s="441">
        <f>AI14*AJ14</f>
        <v>534937123.84607768</v>
      </c>
      <c r="AL14" s="140">
        <f>AH14</f>
        <v>1</v>
      </c>
      <c r="AM14" s="441">
        <f>AK14*AL14</f>
        <v>534937123.84607768</v>
      </c>
      <c r="AN14" s="140">
        <f>AJ14</f>
        <v>0.98</v>
      </c>
      <c r="AO14" s="441">
        <f>AM14*AN14</f>
        <v>524238381.36915612</v>
      </c>
      <c r="AP14" s="140">
        <f>AL14</f>
        <v>1</v>
      </c>
      <c r="AQ14" s="441">
        <f>AO14*AP14</f>
        <v>524238381.36915612</v>
      </c>
      <c r="AR14" s="140">
        <f>AN14</f>
        <v>0.98</v>
      </c>
      <c r="AS14" s="441">
        <f>AQ14*AR14</f>
        <v>513753613.74177301</v>
      </c>
      <c r="AT14" s="140">
        <f>AP14</f>
        <v>1</v>
      </c>
      <c r="AU14" s="441">
        <f>AS14*AT14</f>
        <v>513753613.74177301</v>
      </c>
      <c r="AV14" s="140">
        <f>AR14</f>
        <v>0.98</v>
      </c>
      <c r="AW14" s="441">
        <f>AU14*AV14</f>
        <v>503478541.46693754</v>
      </c>
      <c r="AX14" s="140">
        <f>AT14</f>
        <v>1</v>
      </c>
      <c r="AY14" s="441">
        <f>AW14*AX14</f>
        <v>503478541.46693754</v>
      </c>
      <c r="AZ14" s="140">
        <f>AV14</f>
        <v>0.98</v>
      </c>
      <c r="BA14" s="441">
        <f>AY14*AZ14</f>
        <v>493408970.63759875</v>
      </c>
      <c r="BB14" s="140">
        <f>AX14</f>
        <v>1</v>
      </c>
      <c r="BC14" s="441">
        <f>BA14*BB14</f>
        <v>493408970.63759875</v>
      </c>
      <c r="BD14" s="140">
        <f>AR14</f>
        <v>0.98</v>
      </c>
      <c r="BE14" s="441">
        <f>BC14*BD14</f>
        <v>483540791.22484678</v>
      </c>
      <c r="BF14" s="140">
        <f>AT14</f>
        <v>1</v>
      </c>
      <c r="BG14" s="441">
        <f>BE14*BF14</f>
        <v>483540791.22484678</v>
      </c>
      <c r="BH14" s="140">
        <f>BD14</f>
        <v>0.98</v>
      </c>
      <c r="BI14" s="441">
        <f>BG14*BH14</f>
        <v>473869975.40034986</v>
      </c>
      <c r="BJ14" s="140">
        <f>BF14</f>
        <v>1</v>
      </c>
      <c r="BK14" s="441">
        <f>BI14*BJ14</f>
        <v>473869975.40034986</v>
      </c>
      <c r="BL14" s="140">
        <f>AB14</f>
        <v>0.98</v>
      </c>
      <c r="BM14" s="441">
        <f>BK14*BL14</f>
        <v>464392575.89234287</v>
      </c>
      <c r="BN14" s="140">
        <f>AD14</f>
        <v>1</v>
      </c>
      <c r="BO14" s="441">
        <f>BM14*BN14</f>
        <v>464392575.89234287</v>
      </c>
      <c r="BP14" s="140">
        <f>BL14</f>
        <v>0.98</v>
      </c>
      <c r="BQ14" s="441">
        <f>BO14*BP14</f>
        <v>455104724.37449598</v>
      </c>
      <c r="BR14" s="140">
        <f>BN14</f>
        <v>1</v>
      </c>
      <c r="BS14" s="441">
        <f>BQ14*BR14</f>
        <v>455104724.37449598</v>
      </c>
      <c r="BT14" s="719">
        <f>G14+I14+M14+Q14+U14+Y14+AC14+AG14+AK14+AO14+AS14+AW14+BA14+BE14+BI14+BM14+BQ14</f>
        <v>9138536480.5882206</v>
      </c>
      <c r="BV14" s="592">
        <f>BP14</f>
        <v>0.98</v>
      </c>
      <c r="BW14" s="441">
        <f>BS14*BV14</f>
        <v>446002629.88700604</v>
      </c>
      <c r="BX14" s="623"/>
      <c r="BY14" s="624"/>
      <c r="BZ14" s="628"/>
    </row>
    <row r="15" spans="1:107"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23"/>
      <c r="BY15" s="623"/>
      <c r="BZ15" s="628"/>
    </row>
    <row r="16" spans="1:107"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455"/>
      <c r="BQ16" s="454" t="s">
        <v>744</v>
      </c>
      <c r="BR16" s="141"/>
      <c r="BS16" s="164"/>
      <c r="BT16" s="126"/>
      <c r="BV16" s="455"/>
      <c r="BW16" s="454" t="s">
        <v>744</v>
      </c>
      <c r="BX16" s="625"/>
      <c r="BY16" s="625"/>
      <c r="BZ16" s="628"/>
      <c r="CM16" s="233"/>
      <c r="CQ16" s="233"/>
      <c r="DB16" s="345"/>
      <c r="DC16" s="233"/>
    </row>
    <row r="17" spans="1:109" ht="16.2" thickBot="1" x14ac:dyDescent="0.35">
      <c r="A17" s="18"/>
      <c r="B17" s="18"/>
      <c r="C17" s="397" t="s">
        <v>276</v>
      </c>
      <c r="D17" s="1213">
        <f>100%-D14-D21</f>
        <v>0.5625</v>
      </c>
      <c r="E17" s="399">
        <f>E11*D17</f>
        <v>6363908280.0157967</v>
      </c>
      <c r="F17" s="1090">
        <v>1</v>
      </c>
      <c r="G17" s="399">
        <f>E17*F17</f>
        <v>6363908280.0157967</v>
      </c>
      <c r="H17" s="464">
        <v>0.98</v>
      </c>
      <c r="I17" s="399">
        <f>G17*H17</f>
        <v>6236630114.4154806</v>
      </c>
      <c r="J17" s="464">
        <v>1</v>
      </c>
      <c r="K17" s="453">
        <f>I17*J17</f>
        <v>6236630114.4154806</v>
      </c>
      <c r="L17" s="400">
        <f>H17</f>
        <v>0.98</v>
      </c>
      <c r="M17" s="453">
        <f>K17*L17</f>
        <v>6111897512.1271706</v>
      </c>
      <c r="N17" s="400">
        <f>J17</f>
        <v>1</v>
      </c>
      <c r="O17" s="453">
        <f>M17*N17</f>
        <v>6111897512.1271706</v>
      </c>
      <c r="P17" s="400">
        <f>L17</f>
        <v>0.98</v>
      </c>
      <c r="Q17" s="453">
        <f>O17*P17</f>
        <v>5989659561.8846273</v>
      </c>
      <c r="R17" s="400">
        <f>N17</f>
        <v>1</v>
      </c>
      <c r="S17" s="453">
        <f>Q17*R17</f>
        <v>5989659561.8846273</v>
      </c>
      <c r="T17" s="400">
        <f>P17</f>
        <v>0.98</v>
      </c>
      <c r="U17" s="453">
        <f>S17*T17</f>
        <v>5869866370.6469345</v>
      </c>
      <c r="V17" s="400">
        <f>R17</f>
        <v>1</v>
      </c>
      <c r="W17" s="453">
        <f>U17*V17</f>
        <v>5869866370.6469345</v>
      </c>
      <c r="X17" s="400">
        <f>T17</f>
        <v>0.98</v>
      </c>
      <c r="Y17" s="453">
        <f>W17*X17</f>
        <v>5752469043.2339954</v>
      </c>
      <c r="Z17" s="400">
        <f>V17</f>
        <v>1</v>
      </c>
      <c r="AA17" s="453">
        <f>Y17*Z17</f>
        <v>5752469043.2339954</v>
      </c>
      <c r="AB17" s="400">
        <f>X17</f>
        <v>0.98</v>
      </c>
      <c r="AC17" s="453">
        <f>AA17*AB17</f>
        <v>5637419662.3693151</v>
      </c>
      <c r="AD17" s="400">
        <f>Z17</f>
        <v>1</v>
      </c>
      <c r="AE17" s="453">
        <f>AC17*AD17</f>
        <v>5637419662.3693151</v>
      </c>
      <c r="AF17" s="400">
        <f>AB17</f>
        <v>0.98</v>
      </c>
      <c r="AG17" s="453">
        <f>AE17*AF17</f>
        <v>5524671269.1219292</v>
      </c>
      <c r="AH17" s="400">
        <f>AD17</f>
        <v>1</v>
      </c>
      <c r="AI17" s="453">
        <f>AG17*AH17</f>
        <v>5524671269.1219292</v>
      </c>
      <c r="AJ17" s="400">
        <f>AF17</f>
        <v>0.98</v>
      </c>
      <c r="AK17" s="453">
        <f>AI17*AJ17</f>
        <v>5414177843.7394905</v>
      </c>
      <c r="AL17" s="400">
        <f>AH17</f>
        <v>1</v>
      </c>
      <c r="AM17" s="453">
        <f>AK17*AL17</f>
        <v>5414177843.7394905</v>
      </c>
      <c r="AN17" s="400">
        <f>AJ17</f>
        <v>0.98</v>
      </c>
      <c r="AO17" s="453">
        <f>AM17*AN17</f>
        <v>5305894286.8647003</v>
      </c>
      <c r="AP17" s="400">
        <f>AL17</f>
        <v>1</v>
      </c>
      <c r="AQ17" s="453">
        <f>AO17*AP17</f>
        <v>5305894286.8647003</v>
      </c>
      <c r="AR17" s="400">
        <f>AN17</f>
        <v>0.98</v>
      </c>
      <c r="AS17" s="453">
        <f>AQ17*AR17</f>
        <v>5199776401.1274061</v>
      </c>
      <c r="AT17" s="400">
        <f>AP17</f>
        <v>1</v>
      </c>
      <c r="AU17" s="453">
        <f>AS17*AT17</f>
        <v>5199776401.1274061</v>
      </c>
      <c r="AV17" s="400">
        <f>AR17</f>
        <v>0.98</v>
      </c>
      <c r="AW17" s="453">
        <f>AU17*AV17</f>
        <v>5095780873.1048574</v>
      </c>
      <c r="AX17" s="400">
        <f>AT17</f>
        <v>1</v>
      </c>
      <c r="AY17" s="453">
        <f>AW17*AX17</f>
        <v>5095780873.1048574</v>
      </c>
      <c r="AZ17" s="400">
        <f>AV17</f>
        <v>0.98</v>
      </c>
      <c r="BA17" s="453">
        <f>AY17*AZ17</f>
        <v>4993865255.6427603</v>
      </c>
      <c r="BB17" s="400">
        <f>AX17</f>
        <v>1</v>
      </c>
      <c r="BC17" s="453">
        <f>BA17*BB17</f>
        <v>4993865255.6427603</v>
      </c>
      <c r="BD17" s="400">
        <f>AR17</f>
        <v>0.98</v>
      </c>
      <c r="BE17" s="453">
        <f>BC17*BD17</f>
        <v>4893987950.5299053</v>
      </c>
      <c r="BF17" s="400">
        <f>AT17</f>
        <v>1</v>
      </c>
      <c r="BG17" s="453">
        <f>BE17*BF17</f>
        <v>4893987950.5299053</v>
      </c>
      <c r="BH17" s="400">
        <f>BD17</f>
        <v>0.98</v>
      </c>
      <c r="BI17" s="453">
        <f>BG17*BH17</f>
        <v>4796108191.5193071</v>
      </c>
      <c r="BJ17" s="400">
        <f>BF17</f>
        <v>1</v>
      </c>
      <c r="BK17" s="453">
        <f>BI17*BJ17</f>
        <v>4796108191.5193071</v>
      </c>
      <c r="BL17" s="400">
        <f>AB17</f>
        <v>0.98</v>
      </c>
      <c r="BM17" s="453">
        <f>BK17*BL17</f>
        <v>4700186027.688921</v>
      </c>
      <c r="BN17" s="400">
        <f>AD17</f>
        <v>1</v>
      </c>
      <c r="BO17" s="453">
        <f>BM17*BN17</f>
        <v>4700186027.688921</v>
      </c>
      <c r="BP17" s="400">
        <f>BL17</f>
        <v>0.98</v>
      </c>
      <c r="BQ17" s="453">
        <f>BO17*BP17</f>
        <v>4606182307.1351423</v>
      </c>
      <c r="BR17" s="400">
        <f>BN17</f>
        <v>1</v>
      </c>
      <c r="BS17" s="453">
        <f>BQ17*BR17</f>
        <v>4606182307.1351423</v>
      </c>
      <c r="BT17" s="719">
        <f>G17+I17+M17+Q17+U17+Y17+AC17+AG17+AK17+AO17+AS17+AW17+BA17+BE17+BI17+BM17+BQ17</f>
        <v>92492480951.167725</v>
      </c>
      <c r="BV17" s="593">
        <f>BP17</f>
        <v>0.98</v>
      </c>
      <c r="BW17" s="453">
        <f>BS17*BV17</f>
        <v>4514058660.9924393</v>
      </c>
      <c r="BX17" s="623"/>
      <c r="BY17" s="624"/>
      <c r="BZ17" s="628"/>
      <c r="CP17" s="974" t="s">
        <v>872</v>
      </c>
      <c r="CR17" s="974" t="s">
        <v>872</v>
      </c>
      <c r="CU17" s="974" t="s">
        <v>872</v>
      </c>
    </row>
    <row r="18" spans="1:109"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23"/>
      <c r="BY18" s="623"/>
      <c r="BZ18" s="628"/>
      <c r="CP18" s="974" t="s">
        <v>5</v>
      </c>
      <c r="CR18" s="974" t="s">
        <v>7</v>
      </c>
      <c r="CU18" s="77" t="s">
        <v>968</v>
      </c>
    </row>
    <row r="19" spans="1:109"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23"/>
      <c r="BY19" s="623"/>
      <c r="BZ19" s="628"/>
      <c r="CC19" s="473"/>
      <c r="CD19" s="473"/>
      <c r="CE19" s="473"/>
      <c r="CF19" s="473"/>
      <c r="CG19" s="473"/>
      <c r="CH19" s="473"/>
      <c r="CI19" s="473"/>
      <c r="CJ19" s="473"/>
      <c r="CK19" s="473"/>
      <c r="CL19" s="473"/>
      <c r="CM19" s="970"/>
      <c r="CN19" s="485"/>
      <c r="CO19" s="485"/>
      <c r="CP19" s="485" t="s">
        <v>961</v>
      </c>
      <c r="CQ19" s="485" t="s">
        <v>967</v>
      </c>
      <c r="CR19" s="485" t="s">
        <v>59</v>
      </c>
      <c r="CS19" s="485" t="s">
        <v>1343</v>
      </c>
      <c r="CT19" s="485" t="s">
        <v>1344</v>
      </c>
      <c r="CU19" s="485"/>
      <c r="CV19" s="473"/>
      <c r="CW19" s="485" t="s">
        <v>966</v>
      </c>
      <c r="CX19" s="485" t="s">
        <v>974</v>
      </c>
      <c r="CY19" s="485" t="s">
        <v>965</v>
      </c>
      <c r="CZ19" s="485" t="s">
        <v>965</v>
      </c>
      <c r="DA19" s="485" t="s">
        <v>1345</v>
      </c>
      <c r="DB19" s="305" t="s">
        <v>1286</v>
      </c>
      <c r="DC19" s="304"/>
    </row>
    <row r="20" spans="1:109"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122"/>
      <c r="BQ20" s="450" t="s">
        <v>285</v>
      </c>
      <c r="BR20" s="122"/>
      <c r="BS20" s="8"/>
      <c r="BT20" s="126"/>
      <c r="BV20" s="122"/>
      <c r="BW20" s="450" t="s">
        <v>285</v>
      </c>
      <c r="BX20" s="623"/>
      <c r="BY20" s="623"/>
      <c r="BZ20" s="628"/>
      <c r="CC20" s="473"/>
      <c r="CD20" s="473"/>
      <c r="CE20" s="473"/>
      <c r="CF20" s="473"/>
      <c r="CG20" s="473"/>
      <c r="CH20" s="473"/>
      <c r="CI20" s="473"/>
      <c r="CJ20" s="473"/>
      <c r="CK20" s="473"/>
      <c r="CL20" s="473"/>
      <c r="CM20" s="970"/>
      <c r="CN20" s="485"/>
      <c r="CO20" s="485"/>
      <c r="CP20" s="971">
        <f>'POP Dimensions'!C15</f>
        <v>10737418.24</v>
      </c>
      <c r="CQ20" s="954">
        <v>64</v>
      </c>
      <c r="CR20" s="972">
        <f>CQ20*CP20</f>
        <v>687194767.36000001</v>
      </c>
      <c r="CS20" s="954">
        <v>16</v>
      </c>
      <c r="CT20" s="954"/>
      <c r="CU20" s="971">
        <f>CR20*CS20</f>
        <v>10995116277.76</v>
      </c>
      <c r="CV20" s="473"/>
      <c r="CW20" s="485" t="s">
        <v>785</v>
      </c>
      <c r="CX20" s="485"/>
      <c r="CY20" s="485" t="s">
        <v>962</v>
      </c>
      <c r="CZ20" s="485" t="s">
        <v>1341</v>
      </c>
      <c r="DA20" s="485" t="s">
        <v>1342</v>
      </c>
      <c r="DB20" s="305"/>
      <c r="DC20" s="304"/>
    </row>
    <row r="21" spans="1:109" ht="16.2" thickBot="1" x14ac:dyDescent="0.35">
      <c r="C21" s="149" t="s">
        <v>737</v>
      </c>
      <c r="D21" s="1214">
        <v>0.32634660207039301</v>
      </c>
      <c r="E21" s="151">
        <f>E11*D21</f>
        <v>3692159721.0147457</v>
      </c>
      <c r="F21" s="1092">
        <v>0.3</v>
      </c>
      <c r="G21" s="151">
        <f>E21*F21</f>
        <v>1107647916.3044236</v>
      </c>
      <c r="H21" s="465">
        <v>0.98</v>
      </c>
      <c r="I21" s="151">
        <f>G21*H21</f>
        <v>1085494957.9783351</v>
      </c>
      <c r="J21" s="465">
        <v>1</v>
      </c>
      <c r="K21" s="444">
        <f>I21*J21</f>
        <v>1085494957.9783351</v>
      </c>
      <c r="L21" s="152">
        <f>H21</f>
        <v>0.98</v>
      </c>
      <c r="M21" s="444">
        <f>K21*L21</f>
        <v>1063785058.8187684</v>
      </c>
      <c r="N21" s="152">
        <f>J21</f>
        <v>1</v>
      </c>
      <c r="O21" s="444">
        <f>M21*N21</f>
        <v>1063785058.8187684</v>
      </c>
      <c r="P21" s="152">
        <f>L21</f>
        <v>0.98</v>
      </c>
      <c r="Q21" s="444">
        <f>O21*P21</f>
        <v>1042509357.642393</v>
      </c>
      <c r="R21" s="152">
        <f>N21</f>
        <v>1</v>
      </c>
      <c r="S21" s="444">
        <f>Q21*R21</f>
        <v>1042509357.642393</v>
      </c>
      <c r="T21" s="152">
        <f>P21</f>
        <v>0.98</v>
      </c>
      <c r="U21" s="444">
        <f>S21*T21</f>
        <v>1021659170.4895451</v>
      </c>
      <c r="V21" s="152">
        <f>R21</f>
        <v>1</v>
      </c>
      <c r="W21" s="444">
        <f>U21*V21</f>
        <v>1021659170.4895451</v>
      </c>
      <c r="X21" s="152">
        <f>T21</f>
        <v>0.98</v>
      </c>
      <c r="Y21" s="444">
        <f>W21*X21</f>
        <v>1001225987.0797542</v>
      </c>
      <c r="Z21" s="152">
        <f>V21</f>
        <v>1</v>
      </c>
      <c r="AA21" s="444">
        <f>Y21*Z21</f>
        <v>1001225987.0797542</v>
      </c>
      <c r="AB21" s="152">
        <f>X21</f>
        <v>0.98</v>
      </c>
      <c r="AC21" s="444">
        <f>AA21*AB21</f>
        <v>981201467.33815908</v>
      </c>
      <c r="AD21" s="152">
        <f>Z21</f>
        <v>1</v>
      </c>
      <c r="AE21" s="444">
        <f>AC21*AD21</f>
        <v>981201467.33815908</v>
      </c>
      <c r="AF21" s="152">
        <f>AB21</f>
        <v>0.98</v>
      </c>
      <c r="AG21" s="444">
        <f>AE21*AF21</f>
        <v>961577437.99139583</v>
      </c>
      <c r="AH21" s="152">
        <f>AD21</f>
        <v>1</v>
      </c>
      <c r="AI21" s="444">
        <f>AG21*AH21</f>
        <v>961577437.99139583</v>
      </c>
      <c r="AJ21" s="152">
        <f>AF21</f>
        <v>0.98</v>
      </c>
      <c r="AK21" s="444">
        <f>AI21*AJ21</f>
        <v>942345889.23156786</v>
      </c>
      <c r="AL21" s="152">
        <f>AH21</f>
        <v>1</v>
      </c>
      <c r="AM21" s="444">
        <f>AK21*AL21</f>
        <v>942345889.23156786</v>
      </c>
      <c r="AN21" s="152">
        <f>AJ21</f>
        <v>0.98</v>
      </c>
      <c r="AO21" s="444">
        <f>AM21*AN21</f>
        <v>923498971.44693649</v>
      </c>
      <c r="AP21" s="152">
        <f>AL21</f>
        <v>1</v>
      </c>
      <c r="AQ21" s="444">
        <f>AO21*AP21</f>
        <v>923498971.44693649</v>
      </c>
      <c r="AR21" s="152">
        <f>AN21</f>
        <v>0.98</v>
      </c>
      <c r="AS21" s="444">
        <f>AQ21*AR21</f>
        <v>905028992.01799774</v>
      </c>
      <c r="AT21" s="152">
        <f>AP21</f>
        <v>1</v>
      </c>
      <c r="AU21" s="444">
        <f>AS21*AT21</f>
        <v>905028992.01799774</v>
      </c>
      <c r="AV21" s="152">
        <f>AR21</f>
        <v>0.98</v>
      </c>
      <c r="AW21" s="444">
        <f>AU21*AV21</f>
        <v>886928412.17763782</v>
      </c>
      <c r="AX21" s="152">
        <f>AT21</f>
        <v>1</v>
      </c>
      <c r="AY21" s="444">
        <f>AW21*AX21</f>
        <v>886928412.17763782</v>
      </c>
      <c r="AZ21" s="152">
        <f>AV21</f>
        <v>0.98</v>
      </c>
      <c r="BA21" s="444">
        <f>AY21*AZ21</f>
        <v>869189843.93408501</v>
      </c>
      <c r="BB21" s="152">
        <f>AX21</f>
        <v>1</v>
      </c>
      <c r="BC21" s="444">
        <f>BA21*BB21</f>
        <v>869189843.93408501</v>
      </c>
      <c r="BD21" s="152">
        <f>AR21</f>
        <v>0.98</v>
      </c>
      <c r="BE21" s="444">
        <f>BC21*BD21</f>
        <v>851806047.05540335</v>
      </c>
      <c r="BF21" s="152">
        <f>AT21</f>
        <v>1</v>
      </c>
      <c r="BG21" s="444">
        <f>BE21*BF21</f>
        <v>851806047.05540335</v>
      </c>
      <c r="BH21" s="152">
        <f>BD21</f>
        <v>0.98</v>
      </c>
      <c r="BI21" s="444">
        <f>BG21*BH21</f>
        <v>834769926.11429524</v>
      </c>
      <c r="BJ21" s="152">
        <f>BF21</f>
        <v>1</v>
      </c>
      <c r="BK21" s="444">
        <f>BI21*BJ21</f>
        <v>834769926.11429524</v>
      </c>
      <c r="BL21" s="152">
        <f>AB21</f>
        <v>0.98</v>
      </c>
      <c r="BM21" s="444">
        <f>BK21*BL21</f>
        <v>818074527.59200931</v>
      </c>
      <c r="BN21" s="152">
        <f>AD21</f>
        <v>1</v>
      </c>
      <c r="BO21" s="444">
        <f>BM21*BN21</f>
        <v>818074527.59200931</v>
      </c>
      <c r="BP21" s="152">
        <f>BL21</f>
        <v>0.98</v>
      </c>
      <c r="BQ21" s="444">
        <f>BO21*BP21</f>
        <v>801713037.04016912</v>
      </c>
      <c r="BR21" s="152">
        <f>BN21</f>
        <v>1</v>
      </c>
      <c r="BS21" s="444">
        <f>BQ21*BR21</f>
        <v>801713037.04016912</v>
      </c>
      <c r="BT21" s="719">
        <f>G21+I21+M21+Q21+U21+Y21+AC21+AG21+AK21+AO21+AS21+AW21+BA21+BE21+BI21+BM21+BQ21</f>
        <v>16098457000.252874</v>
      </c>
      <c r="BV21" s="594">
        <f>BP21</f>
        <v>0.98</v>
      </c>
      <c r="BW21" s="444">
        <f>BS21*BV21</f>
        <v>785678776.29936576</v>
      </c>
      <c r="BX21" s="623"/>
      <c r="BY21" s="624"/>
      <c r="BZ21" s="628"/>
      <c r="CC21" s="473"/>
      <c r="CS21" s="976"/>
      <c r="CT21" s="976"/>
      <c r="DC21" s="913"/>
    </row>
    <row r="22" spans="1:109"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437"/>
      <c r="BQ22" s="449" t="s">
        <v>738</v>
      </c>
      <c r="BR22" s="433"/>
      <c r="BS22" s="434"/>
      <c r="BT22" s="180"/>
      <c r="BV22" s="437"/>
      <c r="BW22" s="449" t="s">
        <v>738</v>
      </c>
      <c r="BX22" s="623"/>
      <c r="BY22" s="623"/>
      <c r="BZ22" s="628"/>
      <c r="CC22" s="473"/>
      <c r="CJ22" s="1" t="s">
        <v>955</v>
      </c>
      <c r="CN22" s="581" t="s">
        <v>964</v>
      </c>
      <c r="CO22" s="75"/>
      <c r="CP22" s="75"/>
      <c r="CQ22" s="986"/>
      <c r="CR22" s="896"/>
      <c r="CS22" s="980"/>
      <c r="CT22" s="980"/>
      <c r="CU22" s="75"/>
      <c r="CW22" s="75"/>
      <c r="CX22" s="76"/>
      <c r="CY22" s="75"/>
      <c r="CZ22" s="76">
        <f>CZ31</f>
        <v>1372242051.072</v>
      </c>
      <c r="DA22" s="75"/>
      <c r="DB22" s="910"/>
      <c r="DC22" s="304"/>
    </row>
    <row r="23" spans="1:109" ht="16.2" thickBot="1" x14ac:dyDescent="0.35">
      <c r="C23" s="141"/>
      <c r="D23" s="94">
        <f>SUM(D14:D21)</f>
        <v>1</v>
      </c>
      <c r="E23" s="371"/>
      <c r="F23" s="1093">
        <v>0.25</v>
      </c>
      <c r="G23" s="432">
        <f>E21*F23</f>
        <v>923039930.25368643</v>
      </c>
      <c r="H23" s="466">
        <v>0.98</v>
      </c>
      <c r="I23" s="432">
        <f>G23*H23</f>
        <v>904579131.64861274</v>
      </c>
      <c r="J23" s="466">
        <v>1</v>
      </c>
      <c r="K23" s="449">
        <f>I23*J23</f>
        <v>904579131.64861274</v>
      </c>
      <c r="L23" s="430">
        <f>H23</f>
        <v>0.98</v>
      </c>
      <c r="M23" s="449">
        <f>K23*L23</f>
        <v>886487549.0156405</v>
      </c>
      <c r="N23" s="430">
        <f>J23</f>
        <v>1</v>
      </c>
      <c r="O23" s="449">
        <f>M23*N23</f>
        <v>886487549.0156405</v>
      </c>
      <c r="P23" s="430">
        <f>L23</f>
        <v>0.98</v>
      </c>
      <c r="Q23" s="449">
        <f>O23*P23</f>
        <v>868757798.03532767</v>
      </c>
      <c r="R23" s="430">
        <f>N23</f>
        <v>1</v>
      </c>
      <c r="S23" s="449">
        <f>Q23*R23</f>
        <v>868757798.03532767</v>
      </c>
      <c r="T23" s="430">
        <f>P23</f>
        <v>0.98</v>
      </c>
      <c r="U23" s="449">
        <f>S23*T23</f>
        <v>851382642.07462108</v>
      </c>
      <c r="V23" s="430">
        <f>R23</f>
        <v>1</v>
      </c>
      <c r="W23" s="449">
        <f>U23*V23</f>
        <v>851382642.07462108</v>
      </c>
      <c r="X23" s="430">
        <f>T23</f>
        <v>0.98</v>
      </c>
      <c r="Y23" s="449">
        <f>W23*X23</f>
        <v>834354989.23312867</v>
      </c>
      <c r="Z23" s="430">
        <f>V23</f>
        <v>1</v>
      </c>
      <c r="AA23" s="449">
        <f>Y23*Z23</f>
        <v>834354989.23312867</v>
      </c>
      <c r="AB23" s="430">
        <f>X23</f>
        <v>0.98</v>
      </c>
      <c r="AC23" s="449">
        <f>AA23*AB23</f>
        <v>817667889.44846606</v>
      </c>
      <c r="AD23" s="430">
        <f>Z23</f>
        <v>1</v>
      </c>
      <c r="AE23" s="449">
        <f>AC23*AD23</f>
        <v>817667889.44846606</v>
      </c>
      <c r="AF23" s="430">
        <f>AB23</f>
        <v>0.98</v>
      </c>
      <c r="AG23" s="449">
        <f>AE23*AF23</f>
        <v>801314531.65949678</v>
      </c>
      <c r="AH23" s="430">
        <f>AD23</f>
        <v>1</v>
      </c>
      <c r="AI23" s="449">
        <f>AG23*AH23</f>
        <v>801314531.65949678</v>
      </c>
      <c r="AJ23" s="430">
        <f>AF23</f>
        <v>0.98</v>
      </c>
      <c r="AK23" s="449">
        <f>AI23*AJ23</f>
        <v>785288241.02630687</v>
      </c>
      <c r="AL23" s="430">
        <f>AH23</f>
        <v>1</v>
      </c>
      <c r="AM23" s="449">
        <f>AK23*AL23</f>
        <v>785288241.02630687</v>
      </c>
      <c r="AN23" s="430">
        <f>AJ23</f>
        <v>0.98</v>
      </c>
      <c r="AO23" s="449">
        <f>AM23*AN23</f>
        <v>769582476.20578074</v>
      </c>
      <c r="AP23" s="430">
        <f>AL23</f>
        <v>1</v>
      </c>
      <c r="AQ23" s="449">
        <f>AO23*AP23</f>
        <v>769582476.20578074</v>
      </c>
      <c r="AR23" s="430">
        <f>AN23</f>
        <v>0.98</v>
      </c>
      <c r="AS23" s="449">
        <f>AQ23*AR23</f>
        <v>754190826.68166506</v>
      </c>
      <c r="AT23" s="430">
        <f>AP23</f>
        <v>1</v>
      </c>
      <c r="AU23" s="449">
        <f>AS23*AT23</f>
        <v>754190826.68166506</v>
      </c>
      <c r="AV23" s="430">
        <f>AR23</f>
        <v>0.98</v>
      </c>
      <c r="AW23" s="449">
        <f>AU23*AV23</f>
        <v>739107010.14803171</v>
      </c>
      <c r="AX23" s="430">
        <f>AT23</f>
        <v>1</v>
      </c>
      <c r="AY23" s="449">
        <f>AW23*AX23</f>
        <v>739107010.14803171</v>
      </c>
      <c r="AZ23" s="430">
        <f>AV23</f>
        <v>0.98</v>
      </c>
      <c r="BA23" s="449">
        <f>AY23*AZ23</f>
        <v>724324869.9450711</v>
      </c>
      <c r="BB23" s="430">
        <f>AX23</f>
        <v>1</v>
      </c>
      <c r="BC23" s="449">
        <f>BA23*BB23</f>
        <v>724324869.9450711</v>
      </c>
      <c r="BD23" s="430">
        <f>AR23</f>
        <v>0.98</v>
      </c>
      <c r="BE23" s="449">
        <f>BC23*BD23</f>
        <v>709838372.54616964</v>
      </c>
      <c r="BF23" s="430">
        <f>AT23</f>
        <v>1</v>
      </c>
      <c r="BG23" s="449">
        <f>BE23*BF23</f>
        <v>709838372.54616964</v>
      </c>
      <c r="BH23" s="430">
        <f>BD23</f>
        <v>0.98</v>
      </c>
      <c r="BI23" s="449">
        <f>BG23*BH23</f>
        <v>695641605.0952462</v>
      </c>
      <c r="BJ23" s="430">
        <f>BF23</f>
        <v>1</v>
      </c>
      <c r="BK23" s="449">
        <f>BI23*BJ23</f>
        <v>695641605.0952462</v>
      </c>
      <c r="BL23" s="430">
        <f>AB23</f>
        <v>0.98</v>
      </c>
      <c r="BM23" s="449">
        <f>BK23*BL23</f>
        <v>681728772.99334121</v>
      </c>
      <c r="BN23" s="430">
        <f>AD23</f>
        <v>1</v>
      </c>
      <c r="BO23" s="449">
        <f>BM23*BN23</f>
        <v>681728772.99334121</v>
      </c>
      <c r="BP23" s="430">
        <f>BL23</f>
        <v>0.98</v>
      </c>
      <c r="BQ23" s="449">
        <f>BO23*BP23</f>
        <v>668094197.53347433</v>
      </c>
      <c r="BR23" s="430">
        <f>BN23</f>
        <v>1</v>
      </c>
      <c r="BS23" s="449">
        <f>BQ23*BR23</f>
        <v>668094197.53347433</v>
      </c>
      <c r="BT23" s="719">
        <f>G23+I23+M23+Q23+U23+Y23+AC23+AG23+AK23+AO23+AS23+AW23+BA23+BE23+BI23+BM23+BQ23</f>
        <v>13415380833.544065</v>
      </c>
      <c r="BV23" s="595">
        <f>BP23</f>
        <v>0.98</v>
      </c>
      <c r="BW23" s="449">
        <f>BS23*BV23</f>
        <v>654732313.5828048</v>
      </c>
      <c r="BX23" s="623"/>
      <c r="BY23" s="624"/>
      <c r="BZ23" s="628"/>
      <c r="CC23" s="473"/>
      <c r="CH23" s="982" t="s">
        <v>989</v>
      </c>
      <c r="CI23" s="983">
        <v>2016</v>
      </c>
      <c r="CJ23" s="910">
        <v>75543543000000</v>
      </c>
      <c r="CK23" s="984">
        <v>2.5000000000000001E-2</v>
      </c>
      <c r="CL23" s="910">
        <f>CJ23*CK23</f>
        <v>1888588575000</v>
      </c>
      <c r="CN23" s="75"/>
      <c r="CO23" s="968">
        <v>2016</v>
      </c>
      <c r="CP23" s="305">
        <f>CP20</f>
        <v>10737418.24</v>
      </c>
      <c r="CQ23" s="986">
        <v>64</v>
      </c>
      <c r="CR23" s="411">
        <f t="shared" ref="CR23:CR35" si="0">CQ23*CP23</f>
        <v>687194767.36000001</v>
      </c>
      <c r="CS23" s="980"/>
      <c r="CT23" s="980"/>
      <c r="CU23" s="305">
        <f t="shared" ref="CU23:CU35" si="1">CR23*CS23</f>
        <v>0</v>
      </c>
      <c r="CW23" s="75"/>
      <c r="CX23" s="76"/>
      <c r="CY23" s="75"/>
      <c r="CZ23" s="953">
        <v>25000</v>
      </c>
      <c r="DA23" s="968" t="s">
        <v>1349</v>
      </c>
      <c r="DB23" s="910"/>
      <c r="DC23" s="981">
        <v>2016</v>
      </c>
    </row>
    <row r="24" spans="1:109"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122"/>
      <c r="BQ24" s="448" t="s">
        <v>294</v>
      </c>
      <c r="BR24" s="122"/>
      <c r="BS24" s="8"/>
      <c r="BT24" s="126"/>
      <c r="BV24" s="122"/>
      <c r="BW24" s="448" t="s">
        <v>294</v>
      </c>
      <c r="BX24" s="623"/>
      <c r="BY24" s="623"/>
      <c r="BZ24" s="628"/>
      <c r="CC24" s="473"/>
      <c r="CH24" s="982" t="s">
        <v>989</v>
      </c>
      <c r="CI24" s="983">
        <f>CI23+1</f>
        <v>2017</v>
      </c>
      <c r="CJ24" s="910">
        <f>CJ23+CL23</f>
        <v>77432131575000</v>
      </c>
      <c r="CK24" s="985">
        <f>CK23</f>
        <v>2.5000000000000001E-2</v>
      </c>
      <c r="CL24" s="910">
        <f>CJ24*CK24</f>
        <v>1935803289375</v>
      </c>
      <c r="CN24" s="75"/>
      <c r="CO24" s="968">
        <f>CO23+1</f>
        <v>2017</v>
      </c>
      <c r="CP24" s="305">
        <f>CP20</f>
        <v>10737418.24</v>
      </c>
      <c r="CQ24" s="986">
        <v>64</v>
      </c>
      <c r="CR24" s="411">
        <f t="shared" si="0"/>
        <v>687194767.36000001</v>
      </c>
      <c r="CS24" s="980"/>
      <c r="CT24" s="980"/>
      <c r="CU24" s="305">
        <f t="shared" si="1"/>
        <v>0</v>
      </c>
      <c r="CW24" s="75"/>
      <c r="CX24" s="76"/>
      <c r="CY24" s="75"/>
      <c r="CZ24" s="76">
        <f>CZ22/CZ23</f>
        <v>54889.682042879998</v>
      </c>
      <c r="DA24" s="75"/>
      <c r="DB24" s="910"/>
      <c r="DC24" s="981">
        <f>DC23+1</f>
        <v>2017</v>
      </c>
    </row>
    <row r="25" spans="1:109" ht="16.2" thickBot="1" x14ac:dyDescent="0.35">
      <c r="C25" s="122"/>
      <c r="D25" s="573" t="s">
        <v>1367</v>
      </c>
      <c r="E25" s="7"/>
      <c r="F25" s="1094">
        <v>0.2</v>
      </c>
      <c r="G25" s="99">
        <f>E21*F25</f>
        <v>738431944.20294917</v>
      </c>
      <c r="H25" s="467">
        <v>0.98</v>
      </c>
      <c r="I25" s="99">
        <f>G25*H25</f>
        <v>723663305.31889021</v>
      </c>
      <c r="J25" s="467">
        <v>1</v>
      </c>
      <c r="K25" s="443">
        <f>I25*J25</f>
        <v>723663305.31889021</v>
      </c>
      <c r="L25" s="153">
        <f>H25</f>
        <v>0.98</v>
      </c>
      <c r="M25" s="443">
        <f>K25*L25</f>
        <v>709190039.21251237</v>
      </c>
      <c r="N25" s="153">
        <f>J25</f>
        <v>1</v>
      </c>
      <c r="O25" s="443">
        <f>M25*N25</f>
        <v>709190039.21251237</v>
      </c>
      <c r="P25" s="153">
        <f>L25</f>
        <v>0.98</v>
      </c>
      <c r="Q25" s="443">
        <f>O25*P25</f>
        <v>695006238.42826211</v>
      </c>
      <c r="R25" s="153">
        <f>N25</f>
        <v>1</v>
      </c>
      <c r="S25" s="443">
        <f>Q25*R25</f>
        <v>695006238.42826211</v>
      </c>
      <c r="T25" s="153">
        <f>P25</f>
        <v>0.98</v>
      </c>
      <c r="U25" s="443">
        <f>S25*T25</f>
        <v>681106113.65969682</v>
      </c>
      <c r="V25" s="153">
        <f>R25</f>
        <v>1</v>
      </c>
      <c r="W25" s="443">
        <f>U25*V25</f>
        <v>681106113.65969682</v>
      </c>
      <c r="X25" s="153">
        <f>T25</f>
        <v>0.98</v>
      </c>
      <c r="Y25" s="443">
        <f>W25*X25</f>
        <v>667483991.38650286</v>
      </c>
      <c r="Z25" s="153">
        <f>V25</f>
        <v>1</v>
      </c>
      <c r="AA25" s="443">
        <f>Y25*Z25</f>
        <v>667483991.38650286</v>
      </c>
      <c r="AB25" s="153">
        <f>X25</f>
        <v>0.98</v>
      </c>
      <c r="AC25" s="443">
        <f>AA25*AB25</f>
        <v>654134311.5587728</v>
      </c>
      <c r="AD25" s="153">
        <f>Z25</f>
        <v>1</v>
      </c>
      <c r="AE25" s="443">
        <f>AC25*AD25</f>
        <v>654134311.5587728</v>
      </c>
      <c r="AF25" s="153">
        <f>AB25</f>
        <v>0.98</v>
      </c>
      <c r="AG25" s="443">
        <f>AE25*AF25</f>
        <v>641051625.32759738</v>
      </c>
      <c r="AH25" s="153">
        <f>AD25</f>
        <v>1</v>
      </c>
      <c r="AI25" s="443">
        <f>AG25*AH25</f>
        <v>641051625.32759738</v>
      </c>
      <c r="AJ25" s="153">
        <f>AF25</f>
        <v>0.98</v>
      </c>
      <c r="AK25" s="443">
        <f>AI25*AJ25</f>
        <v>628230592.8210454</v>
      </c>
      <c r="AL25" s="153">
        <f>AH25</f>
        <v>1</v>
      </c>
      <c r="AM25" s="443">
        <f>AK25*AL25</f>
        <v>628230592.8210454</v>
      </c>
      <c r="AN25" s="153">
        <f>AJ25</f>
        <v>0.98</v>
      </c>
      <c r="AO25" s="443">
        <f>AM25*AN25</f>
        <v>615665980.96462452</v>
      </c>
      <c r="AP25" s="153">
        <f>AL25</f>
        <v>1</v>
      </c>
      <c r="AQ25" s="443">
        <f>AO25*AP25</f>
        <v>615665980.96462452</v>
      </c>
      <c r="AR25" s="153">
        <f>AN25</f>
        <v>0.98</v>
      </c>
      <c r="AS25" s="443">
        <f>AQ25*AR25</f>
        <v>603352661.34533203</v>
      </c>
      <c r="AT25" s="153">
        <f>AP25</f>
        <v>1</v>
      </c>
      <c r="AU25" s="443">
        <f>AS25*AT25</f>
        <v>603352661.34533203</v>
      </c>
      <c r="AV25" s="153">
        <f>AR25</f>
        <v>0.98</v>
      </c>
      <c r="AW25" s="443">
        <f>AU25*AV25</f>
        <v>591285608.11842537</v>
      </c>
      <c r="AX25" s="153">
        <f>AT25</f>
        <v>1</v>
      </c>
      <c r="AY25" s="443">
        <f>AW25*AX25</f>
        <v>591285608.11842537</v>
      </c>
      <c r="AZ25" s="153">
        <f>AV25</f>
        <v>0.98</v>
      </c>
      <c r="BA25" s="443">
        <f>AY25*AZ25</f>
        <v>579459895.95605683</v>
      </c>
      <c r="BB25" s="153">
        <f>AX25</f>
        <v>1</v>
      </c>
      <c r="BC25" s="443">
        <f>BA25*BB25</f>
        <v>579459895.95605683</v>
      </c>
      <c r="BD25" s="153">
        <f>AR25</f>
        <v>0.98</v>
      </c>
      <c r="BE25" s="443">
        <f>BC25*BD25</f>
        <v>567870698.03693569</v>
      </c>
      <c r="BF25" s="153">
        <f>AT25</f>
        <v>1</v>
      </c>
      <c r="BG25" s="443">
        <f>BE25*BF25</f>
        <v>567870698.03693569</v>
      </c>
      <c r="BH25" s="153">
        <f>BD25</f>
        <v>0.98</v>
      </c>
      <c r="BI25" s="443">
        <f>BG25*BH25</f>
        <v>556513284.07619691</v>
      </c>
      <c r="BJ25" s="153">
        <f>BF25</f>
        <v>1</v>
      </c>
      <c r="BK25" s="443">
        <f>BI25*BJ25</f>
        <v>556513284.07619691</v>
      </c>
      <c r="BL25" s="153">
        <f>AB25</f>
        <v>0.98</v>
      </c>
      <c r="BM25" s="443">
        <f>BK25*BL25</f>
        <v>545383018.39467299</v>
      </c>
      <c r="BN25" s="153">
        <f>AD25</f>
        <v>1</v>
      </c>
      <c r="BO25" s="443">
        <f>BM25*BN25</f>
        <v>545383018.39467299</v>
      </c>
      <c r="BP25" s="153">
        <f>BL25</f>
        <v>0.98</v>
      </c>
      <c r="BQ25" s="443">
        <f>BO25*BP25</f>
        <v>534475358.02677953</v>
      </c>
      <c r="BR25" s="153">
        <f>BN25</f>
        <v>1</v>
      </c>
      <c r="BS25" s="443">
        <f>BQ25*BR25</f>
        <v>534475358.02677953</v>
      </c>
      <c r="BT25" s="719">
        <f>G25+I25+M25+Q25+U25+Y25+AC25+AG25+AK25+AO25+AS25+AW25+BA25+BE25+BI25+BM25+BQ25</f>
        <v>10732304666.835251</v>
      </c>
      <c r="BV25" s="596">
        <f>BP25</f>
        <v>0.98</v>
      </c>
      <c r="BW25" s="443">
        <f>BS25*BV25</f>
        <v>523785850.86624396</v>
      </c>
      <c r="BX25" s="623"/>
      <c r="BY25" s="624"/>
      <c r="BZ25" s="628"/>
      <c r="CC25" s="473"/>
      <c r="CH25" s="982" t="s">
        <v>989</v>
      </c>
      <c r="CI25" s="983">
        <f t="shared" ref="CI25:CI35" si="2">CI24+1</f>
        <v>2018</v>
      </c>
      <c r="CJ25" s="910">
        <f t="shared" ref="CJ25:CJ35" si="3">CJ24+CL24</f>
        <v>79367934864375</v>
      </c>
      <c r="CK25" s="985">
        <f t="shared" ref="CK25:CK35" si="4">CK24</f>
        <v>2.5000000000000001E-2</v>
      </c>
      <c r="CL25" s="910">
        <f t="shared" ref="CL25:CL35" si="5">CJ25*CK25</f>
        <v>1984198371609.375</v>
      </c>
      <c r="CN25" s="75"/>
      <c r="CO25" s="968">
        <f t="shared" ref="CO25:CO35" si="6">CO24+1</f>
        <v>2018</v>
      </c>
      <c r="CP25" s="305">
        <f>CP20</f>
        <v>10737418.24</v>
      </c>
      <c r="CQ25" s="986">
        <v>64</v>
      </c>
      <c r="CR25" s="411">
        <f t="shared" si="0"/>
        <v>687194767.36000001</v>
      </c>
      <c r="CS25" s="980">
        <v>2.5000000000000001E-2</v>
      </c>
      <c r="CT25" s="980"/>
      <c r="CU25" s="305">
        <f t="shared" si="1"/>
        <v>17179869.184</v>
      </c>
      <c r="CV25" s="978" t="s">
        <v>1144</v>
      </c>
      <c r="CW25" s="305">
        <f t="shared" ref="CW25:CW55" si="7">CU25</f>
        <v>17179869.184</v>
      </c>
      <c r="CX25" s="691">
        <f t="shared" ref="CX25:CX35" si="8">CW25+CX24-DB25</f>
        <v>17179869.184</v>
      </c>
      <c r="CY25" s="893">
        <v>0.125</v>
      </c>
      <c r="CZ25" s="973">
        <f>CX25*CY25</f>
        <v>2147483.648</v>
      </c>
      <c r="DA25" s="305">
        <f>BT58</f>
        <v>2907467613.3295474</v>
      </c>
      <c r="DB25" s="910">
        <f t="shared" ref="DB25:DB35" si="9">CR25*CT25</f>
        <v>0</v>
      </c>
      <c r="DC25" s="981">
        <f t="shared" ref="DC25:DC55" si="10">DC24+1</f>
        <v>2018</v>
      </c>
    </row>
    <row r="26" spans="1:109"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126"/>
      <c r="BV26" s="122"/>
      <c r="BW26" s="452" t="s">
        <v>733</v>
      </c>
      <c r="BX26" s="623"/>
      <c r="BY26" s="623"/>
      <c r="BZ26" s="628"/>
      <c r="CC26" s="473"/>
      <c r="CH26" s="982" t="s">
        <v>989</v>
      </c>
      <c r="CI26" s="983">
        <f t="shared" si="2"/>
        <v>2019</v>
      </c>
      <c r="CJ26" s="910">
        <f t="shared" si="3"/>
        <v>81352133235984.375</v>
      </c>
      <c r="CK26" s="985">
        <f t="shared" si="4"/>
        <v>2.5000000000000001E-2</v>
      </c>
      <c r="CL26" s="910">
        <f t="shared" si="5"/>
        <v>2033803330899.6094</v>
      </c>
      <c r="CN26" s="75"/>
      <c r="CO26" s="968">
        <f t="shared" si="6"/>
        <v>2019</v>
      </c>
      <c r="CP26" s="305">
        <f>CP20</f>
        <v>10737418.24</v>
      </c>
      <c r="CQ26" s="986">
        <v>64</v>
      </c>
      <c r="CR26" s="411">
        <f t="shared" si="0"/>
        <v>687194767.36000001</v>
      </c>
      <c r="CS26" s="980">
        <v>0.2</v>
      </c>
      <c r="CT26" s="980"/>
      <c r="CU26" s="305">
        <f t="shared" si="1"/>
        <v>137438953.472</v>
      </c>
      <c r="CV26" s="978" t="s">
        <v>1144</v>
      </c>
      <c r="CW26" s="305">
        <f t="shared" si="7"/>
        <v>137438953.472</v>
      </c>
      <c r="CX26" s="691">
        <f t="shared" si="8"/>
        <v>154618822.65600002</v>
      </c>
      <c r="CY26" s="893">
        <f>CY25</f>
        <v>0.125</v>
      </c>
      <c r="CZ26" s="973">
        <f t="shared" ref="CZ26:CZ55" si="11">CX26*CY26</f>
        <v>19327352.832000002</v>
      </c>
      <c r="DA26" s="305">
        <f>DA25</f>
        <v>2907467613.3295474</v>
      </c>
      <c r="DB26" s="910">
        <f t="shared" si="9"/>
        <v>0</v>
      </c>
      <c r="DC26" s="981">
        <f t="shared" si="10"/>
        <v>2019</v>
      </c>
    </row>
    <row r="27" spans="1:109" ht="19.2" thickBot="1" x14ac:dyDescent="0.5">
      <c r="C27" s="122"/>
      <c r="D27" s="574" t="s">
        <v>1369</v>
      </c>
      <c r="E27" s="7"/>
      <c r="F27" s="1096">
        <v>0.25</v>
      </c>
      <c r="G27" s="446">
        <f>E21*F27</f>
        <v>923039930.25368643</v>
      </c>
      <c r="H27" s="447">
        <v>0.25</v>
      </c>
      <c r="I27" s="446">
        <f>G27*H27</f>
        <v>230759982.56342161</v>
      </c>
      <c r="J27" s="447">
        <v>1</v>
      </c>
      <c r="K27" s="439">
        <f>I27*J27</f>
        <v>230759982.56342161</v>
      </c>
      <c r="L27" s="438">
        <f>H27</f>
        <v>0.25</v>
      </c>
      <c r="M27" s="439">
        <f>K27*L27</f>
        <v>57689995.640855402</v>
      </c>
      <c r="N27" s="438">
        <f>J27</f>
        <v>1</v>
      </c>
      <c r="O27" s="439">
        <f>M27*N27</f>
        <v>57689995.640855402</v>
      </c>
      <c r="P27" s="438">
        <f>L27</f>
        <v>0.25</v>
      </c>
      <c r="Q27" s="439">
        <f>O27*P27</f>
        <v>14422498.91021385</v>
      </c>
      <c r="R27" s="438">
        <f>N27</f>
        <v>1</v>
      </c>
      <c r="S27" s="439">
        <f>Q27*R27</f>
        <v>14422498.91021385</v>
      </c>
      <c r="T27" s="438">
        <f>P27</f>
        <v>0.25</v>
      </c>
      <c r="U27" s="439">
        <f>S27*T27</f>
        <v>3605624.7275534626</v>
      </c>
      <c r="V27" s="438">
        <f>R27</f>
        <v>1</v>
      </c>
      <c r="W27" s="439">
        <f>U27*V27</f>
        <v>3605624.7275534626</v>
      </c>
      <c r="X27" s="438">
        <f>T27</f>
        <v>0.25</v>
      </c>
      <c r="Y27" s="439">
        <f>W27*X27</f>
        <v>901406.18188836565</v>
      </c>
      <c r="Z27" s="438">
        <f>V27</f>
        <v>1</v>
      </c>
      <c r="AA27" s="439">
        <f>Y27*Z27</f>
        <v>901406.18188836565</v>
      </c>
      <c r="AB27" s="438">
        <f>X27</f>
        <v>0.25</v>
      </c>
      <c r="AC27" s="439">
        <f>AA27*AB27</f>
        <v>225351.54547209141</v>
      </c>
      <c r="AD27" s="438">
        <f>Z27</f>
        <v>1</v>
      </c>
      <c r="AE27" s="439">
        <f>AC27*AD27</f>
        <v>225351.54547209141</v>
      </c>
      <c r="AF27" s="438">
        <f>AB27</f>
        <v>0.25</v>
      </c>
      <c r="AG27" s="439">
        <f>AE27*AF27</f>
        <v>56337.886368022853</v>
      </c>
      <c r="AH27" s="438">
        <f>AD27</f>
        <v>1</v>
      </c>
      <c r="AI27" s="439">
        <f>AG27*AH27</f>
        <v>56337.886368022853</v>
      </c>
      <c r="AJ27" s="438">
        <f>AF27</f>
        <v>0.25</v>
      </c>
      <c r="AK27" s="439">
        <f>AI27*AJ27</f>
        <v>14084.471592005713</v>
      </c>
      <c r="AL27" s="438">
        <f>AH27</f>
        <v>1</v>
      </c>
      <c r="AM27" s="439">
        <f>AK27*AL27</f>
        <v>14084.471592005713</v>
      </c>
      <c r="AN27" s="438">
        <f>AJ27</f>
        <v>0.25</v>
      </c>
      <c r="AO27" s="439">
        <f>AM27*AN27</f>
        <v>3521.1178980014283</v>
      </c>
      <c r="AP27" s="438">
        <f>AL27</f>
        <v>1</v>
      </c>
      <c r="AQ27" s="439">
        <f>AO27*AP27</f>
        <v>3521.1178980014283</v>
      </c>
      <c r="AR27" s="438">
        <f>AN27</f>
        <v>0.25</v>
      </c>
      <c r="AS27" s="439">
        <f>AQ27*AR27</f>
        <v>880.27947450035708</v>
      </c>
      <c r="AT27" s="438">
        <f>AP27</f>
        <v>1</v>
      </c>
      <c r="AU27" s="439">
        <f>AS27*AT27</f>
        <v>880.27947450035708</v>
      </c>
      <c r="AV27" s="438">
        <f>AR27</f>
        <v>0.25</v>
      </c>
      <c r="AW27" s="439">
        <f>AU27*AV27</f>
        <v>220.06986862508927</v>
      </c>
      <c r="AX27" s="438">
        <f>AT27</f>
        <v>1</v>
      </c>
      <c r="AY27" s="439">
        <f>AW27*AX27</f>
        <v>220.06986862508927</v>
      </c>
      <c r="AZ27" s="438">
        <f>AV27</f>
        <v>0.25</v>
      </c>
      <c r="BA27" s="439">
        <f>AY27*AZ27</f>
        <v>55.017467156272318</v>
      </c>
      <c r="BB27" s="438">
        <f>AX27</f>
        <v>1</v>
      </c>
      <c r="BC27" s="439">
        <f>BA27*BB27</f>
        <v>55.017467156272318</v>
      </c>
      <c r="BD27" s="438">
        <f>AR27</f>
        <v>0.25</v>
      </c>
      <c r="BE27" s="439">
        <f>BC27*BD27</f>
        <v>13.754366789068079</v>
      </c>
      <c r="BF27" s="438">
        <f>AT27</f>
        <v>1</v>
      </c>
      <c r="BG27" s="439">
        <f>BE27*BF27</f>
        <v>13.754366789068079</v>
      </c>
      <c r="BH27" s="438">
        <f>BD27</f>
        <v>0.25</v>
      </c>
      <c r="BI27" s="439">
        <f>BG27*BH27</f>
        <v>3.4385916972670199</v>
      </c>
      <c r="BJ27" s="438">
        <f>BF27</f>
        <v>1</v>
      </c>
      <c r="BK27" s="439">
        <f>BI27*BJ27</f>
        <v>3.4385916972670199</v>
      </c>
      <c r="BL27" s="438">
        <f>AB27</f>
        <v>0.25</v>
      </c>
      <c r="BM27" s="439">
        <f>BK27*BL27</f>
        <v>0.85964792431675496</v>
      </c>
      <c r="BN27" s="438">
        <f>AD27</f>
        <v>1</v>
      </c>
      <c r="BO27" s="439">
        <f>BM27*BN27</f>
        <v>0.85964792431675496</v>
      </c>
      <c r="BP27" s="438">
        <f>BL27</f>
        <v>0.25</v>
      </c>
      <c r="BQ27" s="439">
        <f>BO27*BP27</f>
        <v>0.21491198107918874</v>
      </c>
      <c r="BR27" s="438">
        <f>BN27</f>
        <v>1</v>
      </c>
      <c r="BS27" s="439">
        <f>BQ27*BR27</f>
        <v>0.21491198107918874</v>
      </c>
      <c r="BT27" s="719">
        <f>G27+I27+M27+Q27+U27+Y27+AC27+AG27+AK27+AO27+AS27+AW27+BA27+BE27+BI27+BM27+BQ27</f>
        <v>1230719906.9332781</v>
      </c>
      <c r="BV27" s="597">
        <f>BP27</f>
        <v>0.25</v>
      </c>
      <c r="BW27" s="439">
        <f>BS27*BV27</f>
        <v>5.3727995269797185E-2</v>
      </c>
      <c r="BX27" s="623"/>
      <c r="BY27" s="624"/>
      <c r="BZ27" s="628"/>
      <c r="CC27" s="473"/>
      <c r="CH27" s="982" t="s">
        <v>989</v>
      </c>
      <c r="CI27" s="983">
        <f t="shared" si="2"/>
        <v>2020</v>
      </c>
      <c r="CJ27" s="910">
        <f t="shared" si="3"/>
        <v>83385936566883.984</v>
      </c>
      <c r="CK27" s="985">
        <f t="shared" si="4"/>
        <v>2.5000000000000001E-2</v>
      </c>
      <c r="CL27" s="910">
        <f t="shared" si="5"/>
        <v>2084648414172.0996</v>
      </c>
      <c r="CM27" s="895" t="s">
        <v>1283</v>
      </c>
      <c r="CN27" s="75"/>
      <c r="CO27" s="968">
        <f t="shared" si="6"/>
        <v>2020</v>
      </c>
      <c r="CP27" s="305">
        <f>CP20</f>
        <v>10737418.24</v>
      </c>
      <c r="CQ27" s="986">
        <v>64</v>
      </c>
      <c r="CR27" s="411">
        <f t="shared" si="0"/>
        <v>687194767.36000001</v>
      </c>
      <c r="CS27" s="980">
        <v>1.5</v>
      </c>
      <c r="CT27" s="980"/>
      <c r="CU27" s="305">
        <f t="shared" si="1"/>
        <v>1030792151.04</v>
      </c>
      <c r="CV27" s="978" t="s">
        <v>1144</v>
      </c>
      <c r="CW27" s="305">
        <f t="shared" si="7"/>
        <v>1030792151.04</v>
      </c>
      <c r="CX27" s="691">
        <f t="shared" si="8"/>
        <v>1185410973.6960001</v>
      </c>
      <c r="CY27" s="893">
        <f t="shared" ref="CY27:CY31" si="12">CY26</f>
        <v>0.125</v>
      </c>
      <c r="CZ27" s="973">
        <f t="shared" si="11"/>
        <v>148176371.71200001</v>
      </c>
      <c r="DA27" s="305">
        <f t="shared" ref="DA27:DA55" si="13">DA26</f>
        <v>2907467613.3295474</v>
      </c>
      <c r="DB27" s="910">
        <f t="shared" si="9"/>
        <v>0</v>
      </c>
      <c r="DC27" s="981">
        <f t="shared" si="10"/>
        <v>2020</v>
      </c>
    </row>
    <row r="28" spans="1:109"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437"/>
      <c r="BQ28" s="434"/>
      <c r="BR28" s="142"/>
      <c r="BS28" s="434"/>
      <c r="BT28" s="180"/>
      <c r="BV28" s="122"/>
      <c r="BW28" s="8"/>
      <c r="BX28" s="623"/>
      <c r="BY28" s="624"/>
      <c r="BZ28" s="629">
        <f>BW5</f>
        <v>8024993175.0976744</v>
      </c>
      <c r="CC28" s="473"/>
      <c r="CH28" s="982" t="s">
        <v>989</v>
      </c>
      <c r="CI28" s="983">
        <f t="shared" si="2"/>
        <v>2021</v>
      </c>
      <c r="CJ28" s="910">
        <f t="shared" si="3"/>
        <v>85470584981056.078</v>
      </c>
      <c r="CK28" s="985">
        <f t="shared" si="4"/>
        <v>2.5000000000000001E-2</v>
      </c>
      <c r="CL28" s="910">
        <f t="shared" si="5"/>
        <v>2136764624526.4021</v>
      </c>
      <c r="CN28" s="75"/>
      <c r="CO28" s="968">
        <f t="shared" si="6"/>
        <v>2021</v>
      </c>
      <c r="CP28" s="305">
        <f>CP20</f>
        <v>10737418.24</v>
      </c>
      <c r="CQ28" s="986">
        <v>64</v>
      </c>
      <c r="CR28" s="411">
        <f t="shared" si="0"/>
        <v>687194767.36000001</v>
      </c>
      <c r="CS28" s="980">
        <v>1.25</v>
      </c>
      <c r="CT28" s="980"/>
      <c r="CU28" s="305">
        <f t="shared" si="1"/>
        <v>858993459.20000005</v>
      </c>
      <c r="CV28" s="978" t="s">
        <v>1144</v>
      </c>
      <c r="CW28" s="305">
        <f t="shared" si="7"/>
        <v>858993459.20000005</v>
      </c>
      <c r="CX28" s="691">
        <f t="shared" si="8"/>
        <v>2044404432.8960001</v>
      </c>
      <c r="CY28" s="893">
        <f t="shared" si="12"/>
        <v>0.125</v>
      </c>
      <c r="CZ28" s="973">
        <f t="shared" si="11"/>
        <v>255550554.11200002</v>
      </c>
      <c r="DA28" s="305">
        <f t="shared" si="13"/>
        <v>2907467613.3295474</v>
      </c>
      <c r="DB28" s="910">
        <f t="shared" si="9"/>
        <v>0</v>
      </c>
      <c r="DC28" s="981">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148305916641.95428</v>
      </c>
      <c r="BV29" s="179"/>
      <c r="BW29" s="161">
        <f>SUM(BW10:BW28)</f>
        <v>7147261945.2051067</v>
      </c>
      <c r="BX29" s="691">
        <v>1</v>
      </c>
      <c r="BY29" s="183">
        <f>BW29*BX29</f>
        <v>7147261945.2051067</v>
      </c>
      <c r="BZ29" s="645">
        <f>BY29+BZ28</f>
        <v>15172255120.30278</v>
      </c>
      <c r="CA29" s="253" t="s">
        <v>1383</v>
      </c>
      <c r="CC29" s="473"/>
      <c r="CH29" s="982" t="s">
        <v>989</v>
      </c>
      <c r="CI29" s="983">
        <f>CI28+1</f>
        <v>2022</v>
      </c>
      <c r="CJ29" s="910">
        <f>CJ28+CL28</f>
        <v>87607349605582.484</v>
      </c>
      <c r="CK29" s="985">
        <f>CK28</f>
        <v>2.5000000000000001E-2</v>
      </c>
      <c r="CL29" s="910">
        <f t="shared" si="5"/>
        <v>2190183740139.5623</v>
      </c>
      <c r="CN29" s="75"/>
      <c r="CO29" s="968">
        <f>CO28+1</f>
        <v>2022</v>
      </c>
      <c r="CP29" s="305">
        <f>CP20</f>
        <v>10737418.24</v>
      </c>
      <c r="CQ29" s="986">
        <v>64</v>
      </c>
      <c r="CR29" s="411">
        <f t="shared" si="0"/>
        <v>687194767.36000001</v>
      </c>
      <c r="CS29" s="980">
        <v>2</v>
      </c>
      <c r="CT29" s="980"/>
      <c r="CU29" s="305">
        <f t="shared" si="1"/>
        <v>1374389534.72</v>
      </c>
      <c r="CV29" s="978" t="s">
        <v>1144</v>
      </c>
      <c r="CW29" s="305">
        <f t="shared" si="7"/>
        <v>1374389534.72</v>
      </c>
      <c r="CX29" s="691">
        <f t="shared" si="8"/>
        <v>3418793967.6160002</v>
      </c>
      <c r="CY29" s="893">
        <f t="shared" si="12"/>
        <v>0.125</v>
      </c>
      <c r="CZ29" s="973">
        <f t="shared" si="11"/>
        <v>427349245.95200002</v>
      </c>
      <c r="DA29" s="305">
        <f t="shared" si="13"/>
        <v>2907467613.3295474</v>
      </c>
      <c r="DB29" s="910">
        <f t="shared" si="9"/>
        <v>0</v>
      </c>
      <c r="DC29" s="981">
        <f>DC28+1</f>
        <v>2022</v>
      </c>
    </row>
    <row r="30" spans="1:109" x14ac:dyDescent="0.3">
      <c r="C30" s="158"/>
      <c r="D30" s="10"/>
      <c r="E30" s="10"/>
      <c r="F30" s="10"/>
      <c r="G30" s="159">
        <f>SUM(G10:G29)</f>
        <v>11313614720.028086</v>
      </c>
      <c r="H30" s="599"/>
      <c r="I30" s="172">
        <f>SUM(I10:I29)</f>
        <v>10262617670.262625</v>
      </c>
      <c r="J30" s="158"/>
      <c r="K30" s="11"/>
      <c r="L30" s="160"/>
      <c r="M30" s="161">
        <f>SUM(M10:M29)</f>
        <v>9813457726.4462242</v>
      </c>
      <c r="N30" s="158"/>
      <c r="O30" s="11"/>
      <c r="P30" s="598"/>
      <c r="Q30" s="172">
        <f>SUM(Q10:Q29)</f>
        <v>9537348473.5295467</v>
      </c>
      <c r="R30" s="158"/>
      <c r="S30" s="11"/>
      <c r="T30" s="160"/>
      <c r="U30" s="161">
        <f>SUM(U10:U29)</f>
        <v>9317209879.0695362</v>
      </c>
      <c r="V30" s="158"/>
      <c r="W30" s="11"/>
      <c r="X30" s="598"/>
      <c r="Y30" s="172">
        <f>SUM(Y10:Y29)</f>
        <v>9118801975.0445499</v>
      </c>
      <c r="Z30" s="158"/>
      <c r="AA30" s="11"/>
      <c r="AB30" s="160"/>
      <c r="AC30" s="161">
        <f>SUM(AC10:AC29)</f>
        <v>8931052108.8346386</v>
      </c>
      <c r="AD30" s="158"/>
      <c r="AE30" s="11"/>
      <c r="AF30" s="598"/>
      <c r="AG30" s="172">
        <f>SUM(AG10:AG29)</f>
        <v>8749908659.9316311</v>
      </c>
      <c r="AH30" s="158"/>
      <c r="AI30" s="11"/>
      <c r="AJ30" s="598"/>
      <c r="AK30" s="172">
        <f>SUM(AK10:AK29)</f>
        <v>8573690410.0268917</v>
      </c>
      <c r="AL30" s="158"/>
      <c r="AM30" s="11"/>
      <c r="AN30" s="598"/>
      <c r="AO30" s="172">
        <f>SUM(AO10:AO29)</f>
        <v>8401616845.1375599</v>
      </c>
      <c r="AP30" s="158"/>
      <c r="AQ30" s="11"/>
      <c r="AR30" s="598"/>
      <c r="AS30" s="172">
        <f>SUM(AS10:AS29)</f>
        <v>8233287200.3064775</v>
      </c>
      <c r="AT30" s="158"/>
      <c r="AU30" s="11"/>
      <c r="AV30" s="598"/>
      <c r="AW30" s="172">
        <f>SUM(AW10:AW29)</f>
        <v>8068473444.9401999</v>
      </c>
      <c r="AX30" s="158"/>
      <c r="AY30" s="11"/>
      <c r="AZ30" s="598"/>
      <c r="BA30" s="172">
        <f>SUM(BA10:BA29)</f>
        <v>7907030131.0123243</v>
      </c>
      <c r="BB30" s="158"/>
      <c r="BC30" s="11"/>
      <c r="BD30" s="598"/>
      <c r="BE30" s="172">
        <f>SUM(BE10:BE29)</f>
        <v>7748852646.0402937</v>
      </c>
      <c r="BF30" s="158"/>
      <c r="BG30" s="11"/>
      <c r="BH30" s="598"/>
      <c r="BI30" s="172">
        <f>SUM(BI10:BI29)</f>
        <v>7593857161.9842834</v>
      </c>
      <c r="BJ30" s="158"/>
      <c r="BK30" s="11"/>
      <c r="BL30" s="598"/>
      <c r="BM30" s="172">
        <f>SUM(BM10:BM29)</f>
        <v>7441970805.6871681</v>
      </c>
      <c r="BN30" s="158"/>
      <c r="BO30" s="11"/>
      <c r="BP30" s="179"/>
      <c r="BQ30" s="161">
        <f>SUM(BQ10:BQ29)</f>
        <v>7293126783.6722507</v>
      </c>
      <c r="BR30" s="158"/>
      <c r="BS30" s="11"/>
      <c r="BT30" s="161">
        <f>G30+I30+M30+Q30+U30+Y30+AC30+BM30+BQ30</f>
        <v>83029200142.574631</v>
      </c>
      <c r="BZ30" s="253" t="s">
        <v>1383</v>
      </c>
      <c r="CC30" s="473"/>
      <c r="CH30" s="982" t="s">
        <v>989</v>
      </c>
      <c r="CI30" s="983">
        <f>CI29+1</f>
        <v>2023</v>
      </c>
      <c r="CJ30" s="910">
        <f>CJ29+CL29</f>
        <v>89797533345722.047</v>
      </c>
      <c r="CK30" s="985">
        <f>CK29</f>
        <v>2.5000000000000001E-2</v>
      </c>
      <c r="CL30" s="910">
        <f t="shared" si="5"/>
        <v>2244938333643.0513</v>
      </c>
      <c r="CN30" s="75"/>
      <c r="CO30" s="968">
        <f>CO29+1</f>
        <v>2023</v>
      </c>
      <c r="CP30" s="305">
        <f>CP20</f>
        <v>10737418.24</v>
      </c>
      <c r="CQ30" s="986">
        <v>64</v>
      </c>
      <c r="CR30" s="411">
        <f t="shared" si="0"/>
        <v>687194767.36000001</v>
      </c>
      <c r="CS30" s="980">
        <v>3</v>
      </c>
      <c r="CT30" s="980"/>
      <c r="CU30" s="305">
        <f t="shared" si="1"/>
        <v>2061584302.0799999</v>
      </c>
      <c r="CV30" s="978" t="s">
        <v>1144</v>
      </c>
      <c r="CW30" s="305">
        <f t="shared" si="7"/>
        <v>2061584302.0799999</v>
      </c>
      <c r="CX30" s="691">
        <f t="shared" si="8"/>
        <v>5480378269.6960001</v>
      </c>
      <c r="CY30" s="893">
        <f t="shared" si="12"/>
        <v>0.125</v>
      </c>
      <c r="CZ30" s="973">
        <f t="shared" si="11"/>
        <v>685047283.71200001</v>
      </c>
      <c r="DA30" s="305">
        <f t="shared" si="13"/>
        <v>2907467613.3295474</v>
      </c>
      <c r="DB30" s="910">
        <f t="shared" si="9"/>
        <v>0</v>
      </c>
      <c r="DC30" s="981">
        <f>DC29+1</f>
        <v>2023</v>
      </c>
    </row>
    <row r="31" spans="1:109" x14ac:dyDescent="0.3">
      <c r="I31" s="30"/>
      <c r="Q31" s="30"/>
      <c r="Y31" s="30"/>
      <c r="BT31" s="999" t="s">
        <v>1355</v>
      </c>
      <c r="BV31" s="77" t="s">
        <v>1382</v>
      </c>
      <c r="BW31" s="567">
        <f>BT34</f>
        <v>13.821267633183925</v>
      </c>
      <c r="BX31" s="76"/>
      <c r="BY31" s="76" t="s">
        <v>957</v>
      </c>
      <c r="CC31" s="473"/>
      <c r="CH31" s="982" t="s">
        <v>989</v>
      </c>
      <c r="CI31" s="983">
        <f t="shared" si="2"/>
        <v>2024</v>
      </c>
      <c r="CJ31" s="910">
        <f t="shared" si="3"/>
        <v>92042471679365.094</v>
      </c>
      <c r="CK31" s="985">
        <f t="shared" si="4"/>
        <v>2.5000000000000001E-2</v>
      </c>
      <c r="CL31" s="910">
        <f t="shared" si="5"/>
        <v>2301061791984.1274</v>
      </c>
      <c r="CM31" s="895" t="s">
        <v>1282</v>
      </c>
      <c r="CN31" s="75"/>
      <c r="CO31" s="968">
        <f t="shared" si="6"/>
        <v>2024</v>
      </c>
      <c r="CP31" s="305">
        <f>CP20</f>
        <v>10737418.24</v>
      </c>
      <c r="CQ31" s="986">
        <v>64</v>
      </c>
      <c r="CR31" s="411">
        <f t="shared" si="0"/>
        <v>687194767.36000001</v>
      </c>
      <c r="CS31" s="980">
        <v>8</v>
      </c>
      <c r="CT31" s="980"/>
      <c r="CU31" s="305">
        <f t="shared" si="1"/>
        <v>5497558138.8800001</v>
      </c>
      <c r="CV31" s="978" t="s">
        <v>1144</v>
      </c>
      <c r="CW31" s="305">
        <f t="shared" si="7"/>
        <v>5497558138.8800001</v>
      </c>
      <c r="CX31" s="691">
        <f t="shared" si="8"/>
        <v>10977936408.576</v>
      </c>
      <c r="CY31" s="893">
        <f t="shared" si="12"/>
        <v>0.125</v>
      </c>
      <c r="CZ31" s="995">
        <f t="shared" si="11"/>
        <v>1372242051.072</v>
      </c>
      <c r="DA31" s="305">
        <f t="shared" si="13"/>
        <v>2907467613.3295474</v>
      </c>
      <c r="DB31" s="910">
        <f t="shared" si="9"/>
        <v>0</v>
      </c>
      <c r="DC31" s="981">
        <f t="shared" si="10"/>
        <v>2024</v>
      </c>
      <c r="DD31" s="1000">
        <v>0.125</v>
      </c>
      <c r="DE31" s="1001">
        <f>CZ31*CY31</f>
        <v>171530256.384</v>
      </c>
    </row>
    <row r="32" spans="1:109" x14ac:dyDescent="0.3">
      <c r="A32" s="690"/>
      <c r="B32" s="690"/>
      <c r="I32" s="690"/>
      <c r="BS32" s="1150" t="s">
        <v>306</v>
      </c>
      <c r="BT32" s="182">
        <f>E8</f>
        <v>22627229440.056168</v>
      </c>
      <c r="BV32" s="736">
        <f>BT47</f>
        <v>22627229440.056168</v>
      </c>
      <c r="BW32" s="568">
        <f>BV32*BT34</f>
        <v>312736993888.47473</v>
      </c>
      <c r="BX32" s="208">
        <f>BU49</f>
        <v>0.66163000000000005</v>
      </c>
      <c r="BY32" s="691">
        <f>BW32*BX32</f>
        <v>206916177266.43155</v>
      </c>
      <c r="CC32" s="473"/>
      <c r="CH32" s="332" t="s">
        <v>989</v>
      </c>
      <c r="CI32" s="953">
        <f>CI31+1</f>
        <v>2025</v>
      </c>
      <c r="CJ32" s="691">
        <f>CJ31+CL31</f>
        <v>94343533471349.219</v>
      </c>
      <c r="CK32" s="894">
        <f>CK31</f>
        <v>2.5000000000000001E-2</v>
      </c>
      <c r="CL32" s="691">
        <f t="shared" si="5"/>
        <v>2358588336783.7305</v>
      </c>
      <c r="CN32" s="332" t="s">
        <v>963</v>
      </c>
      <c r="CO32" s="953">
        <f>CO31+1</f>
        <v>2025</v>
      </c>
      <c r="CP32" s="691">
        <f>CP20</f>
        <v>10737418.24</v>
      </c>
      <c r="CQ32" s="987">
        <v>64</v>
      </c>
      <c r="CR32" s="875">
        <f t="shared" si="0"/>
        <v>687194767.36000001</v>
      </c>
      <c r="CS32" s="977"/>
      <c r="CT32" s="977"/>
      <c r="CU32" s="691">
        <f t="shared" si="1"/>
        <v>0</v>
      </c>
      <c r="CW32" s="691">
        <f t="shared" si="7"/>
        <v>0</v>
      </c>
      <c r="CX32" s="691">
        <f t="shared" si="8"/>
        <v>10977936408.576</v>
      </c>
      <c r="CY32" s="894">
        <f>CY31</f>
        <v>0.125</v>
      </c>
      <c r="CZ32" s="975">
        <f t="shared" si="11"/>
        <v>1372242051.072</v>
      </c>
      <c r="DA32" s="691">
        <f t="shared" si="13"/>
        <v>2907467613.3295474</v>
      </c>
      <c r="DB32" s="183">
        <f t="shared" si="9"/>
        <v>0</v>
      </c>
      <c r="DC32" s="949">
        <f>DC31+1</f>
        <v>2025</v>
      </c>
    </row>
    <row r="33" spans="1:107" x14ac:dyDescent="0.3">
      <c r="I33" s="690"/>
      <c r="J33" s="18"/>
      <c r="K33" s="690"/>
      <c r="BS33" s="122" t="s">
        <v>307</v>
      </c>
      <c r="BT33" s="183">
        <f>BT29+BT5</f>
        <v>312736993888.47473</v>
      </c>
      <c r="BW33" s="248"/>
      <c r="BY33" s="181"/>
      <c r="CC33" s="473"/>
      <c r="CH33" s="332" t="s">
        <v>989</v>
      </c>
      <c r="CI33" s="953">
        <f t="shared" si="2"/>
        <v>2026</v>
      </c>
      <c r="CJ33" s="691">
        <f t="shared" si="3"/>
        <v>96702121808132.953</v>
      </c>
      <c r="CK33" s="894">
        <f t="shared" si="4"/>
        <v>2.5000000000000001E-2</v>
      </c>
      <c r="CL33" s="691">
        <f t="shared" si="5"/>
        <v>2417553045203.3237</v>
      </c>
      <c r="CN33" s="332"/>
      <c r="CO33" s="953">
        <f t="shared" si="6"/>
        <v>2026</v>
      </c>
      <c r="CP33" s="691">
        <f>CP20</f>
        <v>10737418.24</v>
      </c>
      <c r="CQ33" s="987">
        <v>64</v>
      </c>
      <c r="CR33" s="875">
        <f t="shared" si="0"/>
        <v>687194767.36000001</v>
      </c>
      <c r="CS33" s="977"/>
      <c r="CT33" s="977"/>
      <c r="CU33" s="691">
        <f t="shared" si="1"/>
        <v>0</v>
      </c>
      <c r="CW33" s="691">
        <f t="shared" si="7"/>
        <v>0</v>
      </c>
      <c r="CX33" s="691">
        <f t="shared" si="8"/>
        <v>10977936408.576</v>
      </c>
      <c r="CY33" s="894">
        <f>CY32</f>
        <v>0.125</v>
      </c>
      <c r="CZ33" s="975">
        <f t="shared" si="11"/>
        <v>1372242051.072</v>
      </c>
      <c r="DA33" s="691">
        <f t="shared" si="13"/>
        <v>2907467613.3295474</v>
      </c>
      <c r="DB33" s="183">
        <f t="shared" si="9"/>
        <v>0</v>
      </c>
      <c r="DC33" s="949">
        <f t="shared" si="10"/>
        <v>2026</v>
      </c>
    </row>
    <row r="34" spans="1:107" x14ac:dyDescent="0.3">
      <c r="A34" s="690"/>
      <c r="B34" s="690"/>
      <c r="C34" s="900" t="s">
        <v>1036</v>
      </c>
      <c r="D34" s="901" t="s">
        <v>1287</v>
      </c>
      <c r="E34" s="4"/>
      <c r="F34" s="4"/>
      <c r="G34" s="5"/>
      <c r="BS34" s="1150" t="s">
        <v>310</v>
      </c>
      <c r="BT34" s="184">
        <f>BT33/BT32</f>
        <v>13.821267633183925</v>
      </c>
      <c r="BU34" s="239"/>
      <c r="BV34" s="239" t="s">
        <v>974</v>
      </c>
      <c r="BW34" s="248" t="s">
        <v>1384</v>
      </c>
      <c r="BX34" s="239"/>
      <c r="BY34" s="181"/>
      <c r="CC34" s="473"/>
      <c r="CH34" s="332" t="s">
        <v>989</v>
      </c>
      <c r="CI34" s="953">
        <f t="shared" si="2"/>
        <v>2027</v>
      </c>
      <c r="CJ34" s="691">
        <f t="shared" si="3"/>
        <v>99119674853336.281</v>
      </c>
      <c r="CK34" s="894">
        <f t="shared" si="4"/>
        <v>2.5000000000000001E-2</v>
      </c>
      <c r="CL34" s="691">
        <f t="shared" si="5"/>
        <v>2477991871333.4072</v>
      </c>
      <c r="CN34" s="76"/>
      <c r="CO34" s="953">
        <f t="shared" si="6"/>
        <v>2027</v>
      </c>
      <c r="CP34" s="691">
        <f>CP20</f>
        <v>10737418.24</v>
      </c>
      <c r="CQ34" s="987">
        <v>64</v>
      </c>
      <c r="CR34" s="875">
        <f t="shared" si="0"/>
        <v>687194767.36000001</v>
      </c>
      <c r="CS34" s="977"/>
      <c r="CT34" s="977"/>
      <c r="CU34" s="691">
        <f t="shared" si="1"/>
        <v>0</v>
      </c>
      <c r="CW34" s="691">
        <f t="shared" si="7"/>
        <v>0</v>
      </c>
      <c r="CX34" s="691">
        <f t="shared" si="8"/>
        <v>10977936408.576</v>
      </c>
      <c r="CY34" s="894">
        <f t="shared" ref="CY34:CY55" si="14">CY33</f>
        <v>0.125</v>
      </c>
      <c r="CZ34" s="975">
        <f t="shared" si="11"/>
        <v>1372242051.072</v>
      </c>
      <c r="DA34" s="691">
        <f t="shared" si="13"/>
        <v>2907467613.3295474</v>
      </c>
      <c r="DB34" s="183">
        <f t="shared" si="9"/>
        <v>0</v>
      </c>
      <c r="DC34" s="949">
        <f t="shared" si="10"/>
        <v>2027</v>
      </c>
    </row>
    <row r="35" spans="1:107" x14ac:dyDescent="0.3">
      <c r="A35" s="690"/>
      <c r="B35" s="690"/>
      <c r="C35" s="122" t="s">
        <v>732</v>
      </c>
      <c r="D35" s="287" t="s">
        <v>1288</v>
      </c>
      <c r="E35" s="7" t="s">
        <v>1289</v>
      </c>
      <c r="F35" s="7"/>
      <c r="G35" s="8"/>
      <c r="BR35" s="38"/>
      <c r="BS35" s="1150" t="s">
        <v>785</v>
      </c>
      <c r="BT35" s="472"/>
      <c r="BU35" s="473"/>
      <c r="BV35" s="472"/>
      <c r="BW35" s="472">
        <f>BV35-BT35</f>
        <v>0</v>
      </c>
      <c r="BX35" s="473"/>
      <c r="BY35" s="563"/>
      <c r="BZ35" s="473"/>
      <c r="CA35" s="473"/>
      <c r="CB35" s="473"/>
      <c r="CC35" s="473"/>
      <c r="CD35" s="88"/>
      <c r="CE35" s="88"/>
      <c r="CF35" s="88"/>
      <c r="CG35" s="88"/>
      <c r="CH35" s="332" t="s">
        <v>989</v>
      </c>
      <c r="CI35" s="953">
        <f t="shared" si="2"/>
        <v>2028</v>
      </c>
      <c r="CJ35" s="691">
        <f t="shared" si="3"/>
        <v>101597666724669.69</v>
      </c>
      <c r="CK35" s="894">
        <f t="shared" si="4"/>
        <v>2.5000000000000001E-2</v>
      </c>
      <c r="CL35" s="691">
        <f t="shared" si="5"/>
        <v>2539941668116.7422</v>
      </c>
      <c r="CN35" s="76"/>
      <c r="CO35" s="953">
        <f t="shared" si="6"/>
        <v>2028</v>
      </c>
      <c r="CP35" s="691">
        <f>CP20</f>
        <v>10737418.24</v>
      </c>
      <c r="CQ35" s="987">
        <v>64</v>
      </c>
      <c r="CR35" s="875">
        <f t="shared" si="0"/>
        <v>687194767.36000001</v>
      </c>
      <c r="CS35" s="977"/>
      <c r="CT35" s="977"/>
      <c r="CU35" s="691">
        <f t="shared" si="1"/>
        <v>0</v>
      </c>
      <c r="CW35" s="691">
        <f t="shared" si="7"/>
        <v>0</v>
      </c>
      <c r="CX35" s="691">
        <f t="shared" si="8"/>
        <v>10977936408.576</v>
      </c>
      <c r="CY35" s="894">
        <f t="shared" si="14"/>
        <v>0.125</v>
      </c>
      <c r="CZ35" s="975">
        <f t="shared" si="11"/>
        <v>1372242051.072</v>
      </c>
      <c r="DA35" s="691">
        <f t="shared" si="13"/>
        <v>2907467613.3295474</v>
      </c>
      <c r="DB35" s="183">
        <f t="shared" si="9"/>
        <v>0</v>
      </c>
      <c r="DC35" s="949">
        <f t="shared" si="10"/>
        <v>2028</v>
      </c>
    </row>
    <row r="36" spans="1:107" x14ac:dyDescent="0.3">
      <c r="A36" s="690"/>
      <c r="B36" s="690"/>
      <c r="C36" s="1151">
        <v>32</v>
      </c>
      <c r="D36" s="411">
        <f>'POP Dimensions'!J15</f>
        <v>21474836.48</v>
      </c>
      <c r="E36" s="411">
        <f>C36*D36</f>
        <v>687194767.36000001</v>
      </c>
      <c r="F36" s="896"/>
      <c r="G36" s="902" t="s">
        <v>732</v>
      </c>
      <c r="BR36" s="38"/>
      <c r="BS36" s="1206" t="s">
        <v>1445</v>
      </c>
      <c r="BT36" s="1207">
        <f>'POP Dimensions'!L16*200%</f>
        <v>687194767.36000001</v>
      </c>
      <c r="BU36" s="88"/>
      <c r="BV36" s="511"/>
      <c r="BW36" s="511"/>
      <c r="BX36" s="88"/>
      <c r="BY36" s="181"/>
      <c r="BZ36" s="88"/>
      <c r="CA36" s="88"/>
      <c r="CB36" s="616">
        <f>BY47*CD47</f>
        <v>920424716793.65088</v>
      </c>
      <c r="CC36" s="617" t="s">
        <v>778</v>
      </c>
      <c r="CD36" s="88"/>
      <c r="CE36" s="88"/>
      <c r="CF36" s="88"/>
      <c r="CG36" s="88"/>
      <c r="CH36" s="332" t="s">
        <v>989</v>
      </c>
      <c r="CI36" s="953">
        <f>CI35+1</f>
        <v>2029</v>
      </c>
      <c r="CJ36" s="691">
        <f>CJ35+CL35</f>
        <v>104137608392786.44</v>
      </c>
      <c r="CK36" s="894">
        <f>CK35</f>
        <v>2.5000000000000001E-2</v>
      </c>
      <c r="CL36" s="691">
        <f>CJ36*CK36</f>
        <v>2603440209819.6611</v>
      </c>
      <c r="CN36" s="76"/>
      <c r="CO36" s="953">
        <f>CO35+1</f>
        <v>2029</v>
      </c>
      <c r="CP36" s="691">
        <f>CP20</f>
        <v>10737418.24</v>
      </c>
      <c r="CQ36" s="987">
        <v>64</v>
      </c>
      <c r="CR36" s="875">
        <f>CQ36*CP36</f>
        <v>687194767.36000001</v>
      </c>
      <c r="CS36" s="977"/>
      <c r="CT36" s="977"/>
      <c r="CU36" s="691">
        <f>CR36*CS36</f>
        <v>0</v>
      </c>
      <c r="CW36" s="691">
        <f t="shared" si="7"/>
        <v>0</v>
      </c>
      <c r="CX36" s="691">
        <f>CW36+CX35-DB36</f>
        <v>10977936408.576</v>
      </c>
      <c r="CY36" s="894">
        <f t="shared" si="14"/>
        <v>0.125</v>
      </c>
      <c r="CZ36" s="975">
        <f t="shared" si="11"/>
        <v>1372242051.072</v>
      </c>
      <c r="DA36" s="691">
        <f t="shared" si="13"/>
        <v>2907467613.3295474</v>
      </c>
      <c r="DB36" s="183">
        <f>CR36*CT36</f>
        <v>0</v>
      </c>
      <c r="DC36" s="949">
        <f t="shared" si="10"/>
        <v>2029</v>
      </c>
    </row>
    <row r="37" spans="1:107" x14ac:dyDescent="0.3">
      <c r="A37" s="690"/>
      <c r="B37" s="690"/>
      <c r="C37" s="1152">
        <f>C36*2</f>
        <v>64</v>
      </c>
      <c r="D37" s="897">
        <f>D36</f>
        <v>21474836.48</v>
      </c>
      <c r="E37" s="897">
        <f t="shared" ref="E37:E43" si="15">C37*D37</f>
        <v>1374389534.72</v>
      </c>
      <c r="F37" s="874"/>
      <c r="G37" s="903" t="s">
        <v>732</v>
      </c>
      <c r="BR37" s="38"/>
      <c r="BS37" s="1206" t="s">
        <v>1444</v>
      </c>
      <c r="BT37" s="1207">
        <f>'POP Dimensions'!H17*200%</f>
        <v>1374389534.72</v>
      </c>
      <c r="BU37" s="88"/>
      <c r="BV37" s="511"/>
      <c r="BW37" s="511"/>
      <c r="BX37" s="88"/>
      <c r="BY37" s="181"/>
      <c r="BZ37" s="88"/>
      <c r="CA37" s="88"/>
      <c r="CB37" s="616"/>
      <c r="CC37" s="617"/>
      <c r="CD37" s="88"/>
      <c r="CE37" s="88"/>
      <c r="CF37" s="88"/>
      <c r="CG37" s="88"/>
      <c r="CH37" s="332" t="s">
        <v>989</v>
      </c>
      <c r="CI37" s="953">
        <f>CI36+1</f>
        <v>2030</v>
      </c>
      <c r="CJ37" s="691">
        <f>CJ36+CL36</f>
        <v>106741048602606.09</v>
      </c>
      <c r="CK37" s="894">
        <f>CK36</f>
        <v>2.5000000000000001E-2</v>
      </c>
      <c r="CL37" s="691">
        <f>CJ37*CK37</f>
        <v>2668526215065.1523</v>
      </c>
      <c r="CN37" s="76"/>
      <c r="CO37" s="953">
        <f>CO36+1</f>
        <v>2030</v>
      </c>
      <c r="CP37" s="691">
        <f>CP20</f>
        <v>10737418.24</v>
      </c>
      <c r="CQ37" s="987">
        <v>64</v>
      </c>
      <c r="CR37" s="875">
        <f t="shared" ref="CR37:CR55" si="16">CQ37*CP37</f>
        <v>687194767.36000001</v>
      </c>
      <c r="CS37" s="977"/>
      <c r="CT37" s="977"/>
      <c r="CU37" s="691">
        <f t="shared" ref="CU37:CU55" si="17">CR37*CS37</f>
        <v>0</v>
      </c>
      <c r="CW37" s="691">
        <f t="shared" si="7"/>
        <v>0</v>
      </c>
      <c r="CX37" s="691">
        <f>CW37+CX36-DB37</f>
        <v>10977936408.576</v>
      </c>
      <c r="CY37" s="894">
        <f t="shared" si="14"/>
        <v>0.125</v>
      </c>
      <c r="CZ37" s="975">
        <f t="shared" si="11"/>
        <v>1372242051.072</v>
      </c>
      <c r="DA37" s="691">
        <f t="shared" si="13"/>
        <v>2907467613.3295474</v>
      </c>
      <c r="DB37" s="183">
        <f>CR37*CT37</f>
        <v>0</v>
      </c>
      <c r="DC37" s="949">
        <f t="shared" si="10"/>
        <v>2030</v>
      </c>
    </row>
    <row r="38" spans="1:107" x14ac:dyDescent="0.3">
      <c r="A38" s="690"/>
      <c r="B38" s="690"/>
      <c r="C38" s="1121">
        <f>C37*2</f>
        <v>128</v>
      </c>
      <c r="D38" s="875">
        <f t="shared" ref="D38:D43" si="18">D37</f>
        <v>21474836.48</v>
      </c>
      <c r="E38" s="875">
        <f t="shared" si="15"/>
        <v>2748779069.4400001</v>
      </c>
      <c r="F38" s="410"/>
      <c r="G38" s="126" t="s">
        <v>732</v>
      </c>
      <c r="BO38" s="1162" t="s">
        <v>1435</v>
      </c>
      <c r="BP38" s="1160"/>
      <c r="BQ38" s="1160"/>
      <c r="BR38" s="1160"/>
      <c r="BS38" s="1161" t="s">
        <v>1284</v>
      </c>
      <c r="BT38" s="1164">
        <f>'POP Dimensions'!L16*200%</f>
        <v>687194767.36000001</v>
      </c>
      <c r="BU38" s="88"/>
      <c r="BV38" s="88"/>
      <c r="BW38" s="253"/>
      <c r="BX38" s="88"/>
      <c r="BY38" s="181"/>
      <c r="CH38" s="332" t="s">
        <v>989</v>
      </c>
      <c r="CI38" s="953">
        <f>CI37+1</f>
        <v>2031</v>
      </c>
      <c r="CJ38" s="691">
        <f>CJ37+CL37</f>
        <v>109409574817671.25</v>
      </c>
      <c r="CK38" s="894">
        <f>CK37</f>
        <v>2.5000000000000001E-2</v>
      </c>
      <c r="CL38" s="691">
        <f>CJ38*CK38</f>
        <v>2735239370441.7813</v>
      </c>
      <c r="CN38" s="76"/>
      <c r="CO38" s="953">
        <f t="shared" ref="CO38:CO55" si="19">CO37+1</f>
        <v>2031</v>
      </c>
      <c r="CP38" s="691">
        <f>CP20</f>
        <v>10737418.24</v>
      </c>
      <c r="CQ38" s="987">
        <v>64</v>
      </c>
      <c r="CR38" s="875">
        <f t="shared" si="16"/>
        <v>687194767.36000001</v>
      </c>
      <c r="CS38" s="977"/>
      <c r="CT38" s="977"/>
      <c r="CU38" s="691">
        <f t="shared" si="17"/>
        <v>0</v>
      </c>
      <c r="CW38" s="691">
        <f t="shared" si="7"/>
        <v>0</v>
      </c>
      <c r="CX38" s="691">
        <f t="shared" ref="CX38:CX55" si="20">CW38+CX37-DB38</f>
        <v>10977936408.576</v>
      </c>
      <c r="CY38" s="894">
        <f t="shared" si="14"/>
        <v>0.125</v>
      </c>
      <c r="CZ38" s="975">
        <f t="shared" si="11"/>
        <v>1372242051.072</v>
      </c>
      <c r="DA38" s="691">
        <f t="shared" si="13"/>
        <v>2907467613.3295474</v>
      </c>
      <c r="DB38" s="183">
        <f t="shared" ref="DB38:DB55" si="21">CR38*CT38</f>
        <v>0</v>
      </c>
      <c r="DC38" s="949">
        <f t="shared" si="10"/>
        <v>2031</v>
      </c>
    </row>
    <row r="39" spans="1:107" x14ac:dyDescent="0.3">
      <c r="A39" s="690"/>
      <c r="B39" s="690"/>
      <c r="C39" s="1151">
        <f>C38*2</f>
        <v>256</v>
      </c>
      <c r="D39" s="411">
        <f t="shared" si="18"/>
        <v>21474836.48</v>
      </c>
      <c r="E39" s="411">
        <f t="shared" si="15"/>
        <v>5497558138.8800001</v>
      </c>
      <c r="F39" s="896"/>
      <c r="G39" s="902" t="s">
        <v>732</v>
      </c>
      <c r="BO39" s="1163" t="s">
        <v>1436</v>
      </c>
      <c r="BS39" s="1155" t="s">
        <v>1279</v>
      </c>
      <c r="BT39" s="1164">
        <v>-10500000000</v>
      </c>
      <c r="BU39" s="208">
        <v>0.05</v>
      </c>
      <c r="BV39" s="76">
        <f>BT49*BU39</f>
        <v>10345808863.321579</v>
      </c>
      <c r="BW39" s="253" t="s">
        <v>1465</v>
      </c>
      <c r="BX39" s="88"/>
      <c r="BY39" s="181"/>
      <c r="CB39" s="616"/>
      <c r="CC39" s="617"/>
      <c r="CH39" s="332" t="s">
        <v>989</v>
      </c>
      <c r="CI39" s="953">
        <f>CI38+1</f>
        <v>2032</v>
      </c>
      <c r="CJ39" s="691">
        <f>CJ38+CL38</f>
        <v>112144814188113.03</v>
      </c>
      <c r="CK39" s="894">
        <f>CK38</f>
        <v>2.5000000000000001E-2</v>
      </c>
      <c r="CL39" s="691">
        <f>CJ39*CK39</f>
        <v>2803620354702.8262</v>
      </c>
      <c r="CM39" s="895" t="s">
        <v>1281</v>
      </c>
      <c r="CN39" s="76"/>
      <c r="CO39" s="953">
        <f t="shared" si="19"/>
        <v>2032</v>
      </c>
      <c r="CP39" s="691">
        <f t="shared" ref="CP39:CP55" si="22">CP29</f>
        <v>10737418.24</v>
      </c>
      <c r="CQ39" s="987">
        <v>64</v>
      </c>
      <c r="CR39" s="875">
        <f t="shared" si="16"/>
        <v>687194767.36000001</v>
      </c>
      <c r="CS39" s="977"/>
      <c r="CT39" s="977"/>
      <c r="CU39" s="691">
        <f t="shared" si="17"/>
        <v>0</v>
      </c>
      <c r="CW39" s="691">
        <f t="shared" si="7"/>
        <v>0</v>
      </c>
      <c r="CX39" s="691">
        <f t="shared" si="20"/>
        <v>10977936408.576</v>
      </c>
      <c r="CY39" s="894">
        <f t="shared" si="14"/>
        <v>0.125</v>
      </c>
      <c r="CZ39" s="975">
        <f t="shared" si="11"/>
        <v>1372242051.072</v>
      </c>
      <c r="DA39" s="691">
        <f t="shared" si="13"/>
        <v>2907467613.3295474</v>
      </c>
      <c r="DB39" s="183">
        <f t="shared" si="21"/>
        <v>0</v>
      </c>
      <c r="DC39" s="949">
        <f t="shared" si="10"/>
        <v>2032</v>
      </c>
    </row>
    <row r="40" spans="1:107" x14ac:dyDescent="0.3">
      <c r="A40" s="690"/>
      <c r="B40" s="690"/>
      <c r="C40" s="1152">
        <f t="shared" ref="C40:C43" si="23">C39*2</f>
        <v>512</v>
      </c>
      <c r="D40" s="897">
        <f t="shared" si="18"/>
        <v>21474836.48</v>
      </c>
      <c r="E40" s="897">
        <f t="shared" si="15"/>
        <v>10995116277.76</v>
      </c>
      <c r="F40" s="874"/>
      <c r="G40" s="903" t="s">
        <v>732</v>
      </c>
      <c r="BS40" s="1156" t="s">
        <v>1277</v>
      </c>
      <c r="BT40" s="1164">
        <f>'POP Dimensions'!J17</f>
        <v>1374389534.72</v>
      </c>
      <c r="BU40" s="88"/>
      <c r="BV40" s="253"/>
      <c r="BW40" s="253"/>
      <c r="BX40" s="253"/>
      <c r="BY40" s="181"/>
      <c r="CB40" s="616"/>
      <c r="CC40" s="617"/>
      <c r="CH40" s="332" t="s">
        <v>989</v>
      </c>
      <c r="CI40" s="953">
        <f t="shared" ref="CI40:CI55" si="24">CI39+1</f>
        <v>2033</v>
      </c>
      <c r="CJ40" s="691">
        <f t="shared" ref="CJ40:CJ55" si="25">CJ39+CL39</f>
        <v>114948434542815.86</v>
      </c>
      <c r="CK40" s="894">
        <f t="shared" ref="CK40:CK55" si="26">CK39</f>
        <v>2.5000000000000001E-2</v>
      </c>
      <c r="CL40" s="691">
        <f t="shared" ref="CL40:CL55" si="27">CJ40*CK40</f>
        <v>2873710863570.3965</v>
      </c>
      <c r="CN40" s="76"/>
      <c r="CO40" s="953">
        <f t="shared" si="19"/>
        <v>2033</v>
      </c>
      <c r="CP40" s="691">
        <f t="shared" si="22"/>
        <v>10737418.24</v>
      </c>
      <c r="CQ40" s="987">
        <v>64</v>
      </c>
      <c r="CR40" s="875">
        <f t="shared" si="16"/>
        <v>687194767.36000001</v>
      </c>
      <c r="CS40" s="969"/>
      <c r="CT40" s="977"/>
      <c r="CU40" s="691">
        <f t="shared" si="17"/>
        <v>0</v>
      </c>
      <c r="CW40" s="691">
        <f t="shared" si="7"/>
        <v>0</v>
      </c>
      <c r="CX40" s="691">
        <f t="shared" si="20"/>
        <v>10977936408.576</v>
      </c>
      <c r="CY40" s="894">
        <f t="shared" si="14"/>
        <v>0.125</v>
      </c>
      <c r="CZ40" s="975">
        <f t="shared" si="11"/>
        <v>1372242051.072</v>
      </c>
      <c r="DA40" s="691">
        <f t="shared" si="13"/>
        <v>2907467613.3295474</v>
      </c>
      <c r="DB40" s="183">
        <f t="shared" si="21"/>
        <v>0</v>
      </c>
      <c r="DC40" s="949">
        <f t="shared" si="10"/>
        <v>2033</v>
      </c>
    </row>
    <row r="41" spans="1:107" x14ac:dyDescent="0.3">
      <c r="A41" s="690"/>
      <c r="B41" s="690"/>
      <c r="C41" s="1121">
        <f t="shared" si="23"/>
        <v>1024</v>
      </c>
      <c r="D41" s="875">
        <f t="shared" si="18"/>
        <v>21474836.48</v>
      </c>
      <c r="E41" s="875">
        <f t="shared" si="15"/>
        <v>21990232555.52</v>
      </c>
      <c r="F41" s="410"/>
      <c r="G41" s="126" t="s">
        <v>732</v>
      </c>
      <c r="BQ41" s="173" t="s">
        <v>1433</v>
      </c>
      <c r="BR41" s="1158"/>
      <c r="BS41" s="1159" t="s">
        <v>1285</v>
      </c>
      <c r="BT41" s="719">
        <f>'POP Dimensions'!H17*200%</f>
        <v>1374389534.72</v>
      </c>
      <c r="BU41" s="88"/>
      <c r="BV41" s="253"/>
      <c r="BW41" s="253"/>
      <c r="BX41" s="1215"/>
      <c r="BY41" s="181"/>
      <c r="CB41" s="12" t="s">
        <v>979</v>
      </c>
      <c r="CH41" s="332" t="s">
        <v>989</v>
      </c>
      <c r="CI41" s="953">
        <f t="shared" si="24"/>
        <v>2034</v>
      </c>
      <c r="CJ41" s="691">
        <f t="shared" si="25"/>
        <v>117822145406386.25</v>
      </c>
      <c r="CK41" s="894">
        <f t="shared" si="26"/>
        <v>2.5000000000000001E-2</v>
      </c>
      <c r="CL41" s="691">
        <f t="shared" si="27"/>
        <v>2945553635159.6563</v>
      </c>
      <c r="CN41" s="76"/>
      <c r="CO41" s="953">
        <f t="shared" si="19"/>
        <v>2034</v>
      </c>
      <c r="CP41" s="691">
        <f t="shared" si="22"/>
        <v>10737418.24</v>
      </c>
      <c r="CQ41" s="987">
        <v>64</v>
      </c>
      <c r="CR41" s="875">
        <f t="shared" si="16"/>
        <v>687194767.36000001</v>
      </c>
      <c r="CS41" s="969"/>
      <c r="CT41" s="977"/>
      <c r="CU41" s="691">
        <f t="shared" si="17"/>
        <v>0</v>
      </c>
      <c r="CW41" s="691">
        <f t="shared" si="7"/>
        <v>0</v>
      </c>
      <c r="CX41" s="691">
        <f t="shared" si="20"/>
        <v>10977936408.576</v>
      </c>
      <c r="CY41" s="894">
        <f t="shared" si="14"/>
        <v>0.125</v>
      </c>
      <c r="CZ41" s="975">
        <f t="shared" si="11"/>
        <v>1372242051.072</v>
      </c>
      <c r="DA41" s="691">
        <f t="shared" si="13"/>
        <v>2907467613.3295474</v>
      </c>
      <c r="DB41" s="183">
        <f t="shared" si="21"/>
        <v>0</v>
      </c>
      <c r="DC41" s="949">
        <f t="shared" si="10"/>
        <v>2034</v>
      </c>
    </row>
    <row r="42" spans="1:107" x14ac:dyDescent="0.3">
      <c r="A42" s="690"/>
      <c r="B42" s="690"/>
      <c r="C42" s="1153">
        <f t="shared" si="23"/>
        <v>2048</v>
      </c>
      <c r="D42" s="899">
        <f t="shared" si="18"/>
        <v>21474836.48</v>
      </c>
      <c r="E42" s="899">
        <f t="shared" si="15"/>
        <v>43980465111.040001</v>
      </c>
      <c r="F42" s="898"/>
      <c r="G42" s="905" t="s">
        <v>732</v>
      </c>
      <c r="BQ42" s="618" t="s">
        <v>1434</v>
      </c>
      <c r="BS42" s="1155" t="s">
        <v>1278</v>
      </c>
      <c r="BT42" s="1164">
        <f>'Network Cities'!S37*4</f>
        <v>11775000002</v>
      </c>
      <c r="BU42" s="88"/>
      <c r="BV42" s="253"/>
      <c r="BW42" s="253"/>
      <c r="BX42" s="1215"/>
      <c r="BY42" s="181"/>
      <c r="CB42" s="12"/>
      <c r="CH42" s="332" t="s">
        <v>989</v>
      </c>
      <c r="CI42" s="953">
        <f t="shared" si="24"/>
        <v>2035</v>
      </c>
      <c r="CJ42" s="691">
        <f t="shared" si="25"/>
        <v>120767699041545.91</v>
      </c>
      <c r="CK42" s="894">
        <f t="shared" si="26"/>
        <v>2.5000000000000001E-2</v>
      </c>
      <c r="CL42" s="691">
        <f t="shared" si="27"/>
        <v>3019192476038.6479</v>
      </c>
      <c r="CN42" s="76"/>
      <c r="CO42" s="953">
        <f t="shared" si="19"/>
        <v>2035</v>
      </c>
      <c r="CP42" s="691">
        <f t="shared" si="22"/>
        <v>10737418.24</v>
      </c>
      <c r="CQ42" s="987">
        <v>64</v>
      </c>
      <c r="CR42" s="875">
        <f t="shared" si="16"/>
        <v>687194767.36000001</v>
      </c>
      <c r="CS42" s="969"/>
      <c r="CT42" s="977"/>
      <c r="CU42" s="691">
        <f t="shared" si="17"/>
        <v>0</v>
      </c>
      <c r="CW42" s="691">
        <f t="shared" si="7"/>
        <v>0</v>
      </c>
      <c r="CX42" s="691">
        <f t="shared" si="20"/>
        <v>10977936408.576</v>
      </c>
      <c r="CY42" s="894">
        <f t="shared" si="14"/>
        <v>0.125</v>
      </c>
      <c r="CZ42" s="975">
        <f t="shared" si="11"/>
        <v>1372242051.072</v>
      </c>
      <c r="DA42" s="691">
        <f t="shared" si="13"/>
        <v>2907467613.3295474</v>
      </c>
      <c r="DB42" s="183">
        <f t="shared" si="21"/>
        <v>0</v>
      </c>
      <c r="DC42" s="949">
        <f t="shared" si="10"/>
        <v>2035</v>
      </c>
    </row>
    <row r="43" spans="1:107" x14ac:dyDescent="0.3">
      <c r="A43" s="690"/>
      <c r="B43" s="690"/>
      <c r="C43" s="1154">
        <f t="shared" si="23"/>
        <v>4096</v>
      </c>
      <c r="D43" s="906">
        <f t="shared" si="18"/>
        <v>21474836.48</v>
      </c>
      <c r="E43" s="906">
        <f t="shared" si="15"/>
        <v>87960930222.080002</v>
      </c>
      <c r="F43" s="907"/>
      <c r="G43" s="908" t="s">
        <v>732</v>
      </c>
      <c r="BS43" s="1155" t="s">
        <v>1161</v>
      </c>
      <c r="BT43" s="1164">
        <f>'POP Dimensions'!H17*300%</f>
        <v>2061584302.0799999</v>
      </c>
      <c r="BU43" s="88"/>
      <c r="BV43" s="600"/>
      <c r="BW43" s="253"/>
      <c r="BX43" s="253"/>
      <c r="BY43" s="181"/>
      <c r="CB43" s="12"/>
      <c r="CH43" s="332" t="s">
        <v>989</v>
      </c>
      <c r="CI43" s="953">
        <f t="shared" si="24"/>
        <v>2036</v>
      </c>
      <c r="CJ43" s="691">
        <f t="shared" si="25"/>
        <v>123786891517584.55</v>
      </c>
      <c r="CK43" s="894">
        <f t="shared" si="26"/>
        <v>2.5000000000000001E-2</v>
      </c>
      <c r="CL43" s="691">
        <f t="shared" si="27"/>
        <v>3094672287939.6138</v>
      </c>
      <c r="CN43" s="76"/>
      <c r="CO43" s="953">
        <f t="shared" si="19"/>
        <v>2036</v>
      </c>
      <c r="CP43" s="691">
        <f t="shared" si="22"/>
        <v>10737418.24</v>
      </c>
      <c r="CQ43" s="987">
        <v>64</v>
      </c>
      <c r="CR43" s="875">
        <f t="shared" si="16"/>
        <v>687194767.36000001</v>
      </c>
      <c r="CS43" s="969"/>
      <c r="CT43" s="977"/>
      <c r="CU43" s="691">
        <f t="shared" si="17"/>
        <v>0</v>
      </c>
      <c r="CW43" s="691">
        <f t="shared" si="7"/>
        <v>0</v>
      </c>
      <c r="CX43" s="691">
        <f t="shared" si="20"/>
        <v>10977936408.576</v>
      </c>
      <c r="CY43" s="894">
        <f t="shared" si="14"/>
        <v>0.125</v>
      </c>
      <c r="CZ43" s="975">
        <f t="shared" si="11"/>
        <v>1372242051.072</v>
      </c>
      <c r="DA43" s="691">
        <f t="shared" si="13"/>
        <v>2907467613.3295474</v>
      </c>
      <c r="DB43" s="183">
        <f t="shared" si="21"/>
        <v>0</v>
      </c>
      <c r="DC43" s="949">
        <f t="shared" si="10"/>
        <v>2036</v>
      </c>
    </row>
    <row r="44" spans="1:107" x14ac:dyDescent="0.3">
      <c r="A44" s="690"/>
      <c r="B44" s="690"/>
      <c r="BQ44" s="1162" t="s">
        <v>1433</v>
      </c>
      <c r="BR44" s="1160"/>
      <c r="BS44" s="1161" t="s">
        <v>1249</v>
      </c>
      <c r="BT44" s="1164">
        <f>'POP Dimensions'!J17*200%</f>
        <v>2748779069.4400001</v>
      </c>
      <c r="BU44" s="88"/>
      <c r="BV44" s="253"/>
      <c r="BW44" s="254"/>
      <c r="BX44" s="253"/>
      <c r="BY44" s="181"/>
      <c r="CB44" s="12"/>
      <c r="CH44" s="332" t="s">
        <v>989</v>
      </c>
      <c r="CI44" s="953">
        <f t="shared" si="24"/>
        <v>2037</v>
      </c>
      <c r="CJ44" s="691">
        <f t="shared" si="25"/>
        <v>126881563805524.16</v>
      </c>
      <c r="CK44" s="894">
        <f t="shared" si="26"/>
        <v>2.5000000000000001E-2</v>
      </c>
      <c r="CL44" s="691">
        <f t="shared" si="27"/>
        <v>3172039095138.104</v>
      </c>
      <c r="CN44" s="76"/>
      <c r="CO44" s="953">
        <f t="shared" si="19"/>
        <v>2037</v>
      </c>
      <c r="CP44" s="691">
        <f t="shared" si="22"/>
        <v>10737418.24</v>
      </c>
      <c r="CQ44" s="987">
        <v>64</v>
      </c>
      <c r="CR44" s="875">
        <f t="shared" si="16"/>
        <v>687194767.36000001</v>
      </c>
      <c r="CS44" s="969"/>
      <c r="CT44" s="977"/>
      <c r="CU44" s="691">
        <f t="shared" si="17"/>
        <v>0</v>
      </c>
      <c r="CW44" s="691">
        <f t="shared" si="7"/>
        <v>0</v>
      </c>
      <c r="CX44" s="691">
        <f t="shared" si="20"/>
        <v>10977936408.576</v>
      </c>
      <c r="CY44" s="894">
        <f t="shared" si="14"/>
        <v>0.125</v>
      </c>
      <c r="CZ44" s="975">
        <f t="shared" si="11"/>
        <v>1372242051.072</v>
      </c>
      <c r="DA44" s="691">
        <f t="shared" si="13"/>
        <v>2907467613.3295474</v>
      </c>
      <c r="DB44" s="183">
        <f t="shared" si="21"/>
        <v>0</v>
      </c>
      <c r="DC44" s="949">
        <f t="shared" si="10"/>
        <v>2037</v>
      </c>
    </row>
    <row r="45" spans="1:107" x14ac:dyDescent="0.3">
      <c r="A45" s="690"/>
      <c r="B45" s="690"/>
      <c r="BQ45" s="1163" t="s">
        <v>1437</v>
      </c>
      <c r="BS45" s="1157" t="s">
        <v>148</v>
      </c>
      <c r="BT45" s="1164">
        <v>0</v>
      </c>
      <c r="BU45" s="88"/>
      <c r="BV45" s="254"/>
      <c r="BW45" s="254"/>
      <c r="BX45" s="253"/>
      <c r="BY45" s="181"/>
      <c r="CB45" s="12"/>
      <c r="CH45" s="332" t="s">
        <v>989</v>
      </c>
      <c r="CI45" s="953">
        <f t="shared" si="24"/>
        <v>2038</v>
      </c>
      <c r="CJ45" s="691">
        <f t="shared" si="25"/>
        <v>130053602900662.27</v>
      </c>
      <c r="CK45" s="894">
        <f t="shared" si="26"/>
        <v>2.5000000000000001E-2</v>
      </c>
      <c r="CL45" s="691">
        <f t="shared" si="27"/>
        <v>3251340072516.5566</v>
      </c>
      <c r="CN45" s="76"/>
      <c r="CO45" s="953">
        <f t="shared" si="19"/>
        <v>2038</v>
      </c>
      <c r="CP45" s="691">
        <f t="shared" si="22"/>
        <v>10737418.24</v>
      </c>
      <c r="CQ45" s="987">
        <v>64</v>
      </c>
      <c r="CR45" s="875">
        <f t="shared" si="16"/>
        <v>687194767.36000001</v>
      </c>
      <c r="CS45" s="969"/>
      <c r="CT45" s="977"/>
      <c r="CU45" s="691">
        <f t="shared" si="17"/>
        <v>0</v>
      </c>
      <c r="CW45" s="691">
        <f t="shared" si="7"/>
        <v>0</v>
      </c>
      <c r="CX45" s="691">
        <f t="shared" si="20"/>
        <v>10977936408.576</v>
      </c>
      <c r="CY45" s="894">
        <f t="shared" si="14"/>
        <v>0.125</v>
      </c>
      <c r="CZ45" s="975">
        <f t="shared" si="11"/>
        <v>1372242051.072</v>
      </c>
      <c r="DA45" s="691">
        <f t="shared" si="13"/>
        <v>2907467613.3295474</v>
      </c>
      <c r="DB45" s="183">
        <f t="shared" si="21"/>
        <v>0</v>
      </c>
      <c r="DC45" s="949">
        <f t="shared" si="10"/>
        <v>2038</v>
      </c>
    </row>
    <row r="46" spans="1:107" x14ac:dyDescent="0.3">
      <c r="A46" s="690"/>
      <c r="B46" s="690"/>
      <c r="BS46" s="1150" t="s">
        <v>948</v>
      </c>
      <c r="BT46" s="1216">
        <f>'2033 - ŔÉŚ 10. É97%'!BZ29</f>
        <v>11044307927.656166</v>
      </c>
      <c r="BU46" s="88"/>
      <c r="BV46" s="253"/>
      <c r="BW46" s="253"/>
      <c r="BX46" s="253"/>
      <c r="BY46" s="181" t="s">
        <v>805</v>
      </c>
      <c r="BZ46" s="1" t="s">
        <v>998</v>
      </c>
      <c r="CB46" s="19">
        <v>0.01</v>
      </c>
      <c r="CH46" s="332" t="s">
        <v>989</v>
      </c>
      <c r="CI46" s="953">
        <f t="shared" si="24"/>
        <v>2039</v>
      </c>
      <c r="CJ46" s="691">
        <f t="shared" si="25"/>
        <v>133304942973178.83</v>
      </c>
      <c r="CK46" s="894">
        <f t="shared" si="26"/>
        <v>2.5000000000000001E-2</v>
      </c>
      <c r="CL46" s="691">
        <f t="shared" si="27"/>
        <v>3332623574329.4707</v>
      </c>
      <c r="CN46" s="76"/>
      <c r="CO46" s="953">
        <f t="shared" si="19"/>
        <v>2039</v>
      </c>
      <c r="CP46" s="691">
        <f t="shared" si="22"/>
        <v>10737418.24</v>
      </c>
      <c r="CQ46" s="987">
        <v>64</v>
      </c>
      <c r="CR46" s="875">
        <f t="shared" si="16"/>
        <v>687194767.36000001</v>
      </c>
      <c r="CS46" s="969"/>
      <c r="CT46" s="977"/>
      <c r="CU46" s="691">
        <f t="shared" si="17"/>
        <v>0</v>
      </c>
      <c r="CW46" s="691">
        <f t="shared" si="7"/>
        <v>0</v>
      </c>
      <c r="CX46" s="691">
        <f t="shared" si="20"/>
        <v>10977936408.576</v>
      </c>
      <c r="CY46" s="894">
        <f t="shared" si="14"/>
        <v>0.125</v>
      </c>
      <c r="CZ46" s="975">
        <f t="shared" si="11"/>
        <v>1372242051.072</v>
      </c>
      <c r="DA46" s="691">
        <f t="shared" si="13"/>
        <v>2907467613.3295474</v>
      </c>
      <c r="DB46" s="183">
        <f t="shared" si="21"/>
        <v>0</v>
      </c>
      <c r="DC46" s="949">
        <f t="shared" si="10"/>
        <v>2039</v>
      </c>
    </row>
    <row r="47" spans="1:107" x14ac:dyDescent="0.3">
      <c r="K47" s="690"/>
      <c r="BS47" s="122" t="s">
        <v>1385</v>
      </c>
      <c r="BT47" s="183">
        <f>SUM(BT35:BT46)</f>
        <v>22627229440.056168</v>
      </c>
      <c r="BU47" s="251"/>
      <c r="BV47" s="76" t="s">
        <v>805</v>
      </c>
      <c r="BW47" s="691">
        <f>AE82</f>
        <v>6630548568.2489748</v>
      </c>
      <c r="BX47" s="76"/>
      <c r="BY47" s="691">
        <f>BW47</f>
        <v>6630548568.2489748</v>
      </c>
      <c r="BZ47" s="691">
        <f>CJ31</f>
        <v>92042471679365.094</v>
      </c>
      <c r="CA47" s="76"/>
      <c r="CB47" s="736">
        <f>BZ47*CB46</f>
        <v>920424716793.651</v>
      </c>
      <c r="CC47" s="76"/>
      <c r="CD47" s="208">
        <f>CB47/BY47</f>
        <v>138.81577177508268</v>
      </c>
      <c r="CE47" s="76"/>
      <c r="CF47" s="76"/>
      <c r="CG47" s="76"/>
      <c r="CH47" s="332" t="s">
        <v>989</v>
      </c>
      <c r="CI47" s="953">
        <f t="shared" si="24"/>
        <v>2040</v>
      </c>
      <c r="CJ47" s="691">
        <f t="shared" si="25"/>
        <v>136637566547508.3</v>
      </c>
      <c r="CK47" s="894">
        <f t="shared" si="26"/>
        <v>2.5000000000000001E-2</v>
      </c>
      <c r="CL47" s="691">
        <f t="shared" si="27"/>
        <v>3415939163687.7075</v>
      </c>
      <c r="CN47" s="76"/>
      <c r="CO47" s="953">
        <f t="shared" si="19"/>
        <v>2040</v>
      </c>
      <c r="CP47" s="691">
        <f t="shared" si="22"/>
        <v>10737418.24</v>
      </c>
      <c r="CQ47" s="987">
        <v>64</v>
      </c>
      <c r="CR47" s="875">
        <f t="shared" si="16"/>
        <v>687194767.36000001</v>
      </c>
      <c r="CS47" s="969"/>
      <c r="CT47" s="977"/>
      <c r="CU47" s="691">
        <f t="shared" si="17"/>
        <v>0</v>
      </c>
      <c r="CW47" s="691">
        <f t="shared" si="7"/>
        <v>0</v>
      </c>
      <c r="CX47" s="691">
        <f t="shared" si="20"/>
        <v>10977936408.576</v>
      </c>
      <c r="CY47" s="894">
        <f t="shared" si="14"/>
        <v>0.125</v>
      </c>
      <c r="CZ47" s="975">
        <f t="shared" si="11"/>
        <v>1372242051.072</v>
      </c>
      <c r="DA47" s="691">
        <f t="shared" si="13"/>
        <v>2907467613.3295474</v>
      </c>
      <c r="DB47" s="183">
        <f t="shared" si="21"/>
        <v>0</v>
      </c>
      <c r="DC47" s="949">
        <f t="shared" si="10"/>
        <v>2040</v>
      </c>
    </row>
    <row r="48" spans="1:107" ht="16.2" thickBot="1" x14ac:dyDescent="0.35">
      <c r="BS48" s="1150" t="s">
        <v>309</v>
      </c>
      <c r="BT48" s="182">
        <f>BT47*BT34</f>
        <v>312736993888.47473</v>
      </c>
      <c r="BX48" s="565" t="s">
        <v>894</v>
      </c>
      <c r="BY48" s="208">
        <f>BY32/BY47</f>
        <v>31.206494475776822</v>
      </c>
      <c r="BZ48" s="367"/>
      <c r="CB48" s="192">
        <f>BY60</f>
        <v>213546725834.68051</v>
      </c>
      <c r="CC48" s="193"/>
      <c r="CD48" s="1" t="s">
        <v>1339</v>
      </c>
      <c r="CH48" s="332" t="s">
        <v>989</v>
      </c>
      <c r="CI48" s="953">
        <f t="shared" si="24"/>
        <v>2041</v>
      </c>
      <c r="CJ48" s="691">
        <f t="shared" si="25"/>
        <v>140053505711196</v>
      </c>
      <c r="CK48" s="894">
        <f t="shared" si="26"/>
        <v>2.5000000000000001E-2</v>
      </c>
      <c r="CL48" s="691">
        <f t="shared" si="27"/>
        <v>3501337642779.9004</v>
      </c>
      <c r="CN48" s="76"/>
      <c r="CO48" s="953">
        <f t="shared" si="19"/>
        <v>2041</v>
      </c>
      <c r="CP48" s="691">
        <f t="shared" si="22"/>
        <v>10737418.24</v>
      </c>
      <c r="CQ48" s="987">
        <v>64</v>
      </c>
      <c r="CR48" s="875">
        <f t="shared" si="16"/>
        <v>687194767.36000001</v>
      </c>
      <c r="CS48" s="969"/>
      <c r="CT48" s="977"/>
      <c r="CU48" s="691">
        <f t="shared" si="17"/>
        <v>0</v>
      </c>
      <c r="CW48" s="691">
        <f t="shared" si="7"/>
        <v>0</v>
      </c>
      <c r="CX48" s="691">
        <f t="shared" si="20"/>
        <v>10977936408.576</v>
      </c>
      <c r="CY48" s="894">
        <f t="shared" si="14"/>
        <v>0.125</v>
      </c>
      <c r="CZ48" s="975">
        <f t="shared" si="11"/>
        <v>1372242051.072</v>
      </c>
      <c r="DA48" s="691">
        <f t="shared" si="13"/>
        <v>2907467613.3295474</v>
      </c>
      <c r="DB48" s="183">
        <f t="shared" si="21"/>
        <v>0</v>
      </c>
      <c r="DC48" s="949">
        <f t="shared" si="10"/>
        <v>2041</v>
      </c>
    </row>
    <row r="49" spans="3:107" ht="16.2" thickBot="1" x14ac:dyDescent="0.35">
      <c r="C49" s="1" t="s">
        <v>801</v>
      </c>
      <c r="BS49" s="1150" t="s">
        <v>308</v>
      </c>
      <c r="BT49" s="182">
        <f>BT48*BU49</f>
        <v>206916177266.43155</v>
      </c>
      <c r="BU49" s="680">
        <v>0.66163000000000005</v>
      </c>
      <c r="BV49" s="1" t="s">
        <v>1275</v>
      </c>
      <c r="BX49" s="565" t="s">
        <v>888</v>
      </c>
      <c r="BY49" s="953">
        <v>8</v>
      </c>
      <c r="BZ49" s="1" t="s">
        <v>889</v>
      </c>
      <c r="CD49" s="1" t="s">
        <v>1340</v>
      </c>
      <c r="CH49" s="332" t="s">
        <v>989</v>
      </c>
      <c r="CI49" s="953">
        <f t="shared" si="24"/>
        <v>2042</v>
      </c>
      <c r="CJ49" s="691">
        <f t="shared" si="25"/>
        <v>143554843353975.91</v>
      </c>
      <c r="CK49" s="894">
        <f t="shared" si="26"/>
        <v>2.5000000000000001E-2</v>
      </c>
      <c r="CL49" s="691">
        <f t="shared" si="27"/>
        <v>3588871083849.3979</v>
      </c>
      <c r="CN49" s="76"/>
      <c r="CO49" s="953">
        <f t="shared" si="19"/>
        <v>2042</v>
      </c>
      <c r="CP49" s="691">
        <f t="shared" si="22"/>
        <v>10737418.24</v>
      </c>
      <c r="CQ49" s="987">
        <v>64</v>
      </c>
      <c r="CR49" s="875">
        <f t="shared" si="16"/>
        <v>687194767.36000001</v>
      </c>
      <c r="CS49" s="969"/>
      <c r="CT49" s="977"/>
      <c r="CU49" s="691">
        <f t="shared" si="17"/>
        <v>0</v>
      </c>
      <c r="CW49" s="691">
        <f t="shared" si="7"/>
        <v>0</v>
      </c>
      <c r="CX49" s="691">
        <f t="shared" si="20"/>
        <v>10977936408.576</v>
      </c>
      <c r="CY49" s="894">
        <f t="shared" si="14"/>
        <v>0.125</v>
      </c>
      <c r="CZ49" s="975">
        <f t="shared" si="11"/>
        <v>1372242051.072</v>
      </c>
      <c r="DA49" s="691">
        <f t="shared" si="13"/>
        <v>2907467613.3295474</v>
      </c>
      <c r="DB49" s="183">
        <f t="shared" si="21"/>
        <v>0</v>
      </c>
      <c r="DC49" s="949">
        <f t="shared" si="10"/>
        <v>2042</v>
      </c>
    </row>
    <row r="50" spans="3:107" x14ac:dyDescent="0.3">
      <c r="C50" s="13"/>
      <c r="D50" s="4"/>
      <c r="E50" s="120" t="s">
        <v>275</v>
      </c>
      <c r="F50" s="4"/>
      <c r="G50" s="173" t="s">
        <v>288</v>
      </c>
      <c r="H50" s="462" t="s">
        <v>1367</v>
      </c>
      <c r="I50" s="170" t="s">
        <v>1373</v>
      </c>
      <c r="J50" s="175" t="s">
        <v>297</v>
      </c>
      <c r="K50" s="170" t="s">
        <v>802</v>
      </c>
      <c r="BT50" s="239"/>
      <c r="BV50" s="1" t="s">
        <v>1276</v>
      </c>
      <c r="BX50" s="565" t="s">
        <v>890</v>
      </c>
      <c r="BY50" s="208">
        <f>BY48/BY49</f>
        <v>3.9008118094721027</v>
      </c>
      <c r="CH50" s="332" t="s">
        <v>989</v>
      </c>
      <c r="CI50" s="953">
        <f t="shared" si="24"/>
        <v>2043</v>
      </c>
      <c r="CJ50" s="691">
        <f t="shared" si="25"/>
        <v>147143714437825.31</v>
      </c>
      <c r="CK50" s="894">
        <f t="shared" si="26"/>
        <v>2.5000000000000001E-2</v>
      </c>
      <c r="CL50" s="691">
        <f t="shared" si="27"/>
        <v>3678592860945.6328</v>
      </c>
      <c r="CN50" s="76"/>
      <c r="CO50" s="953">
        <f t="shared" si="19"/>
        <v>2043</v>
      </c>
      <c r="CP50" s="691">
        <f t="shared" si="22"/>
        <v>10737418.24</v>
      </c>
      <c r="CQ50" s="987">
        <v>64</v>
      </c>
      <c r="CR50" s="875">
        <f t="shared" si="16"/>
        <v>687194767.36000001</v>
      </c>
      <c r="CS50" s="969"/>
      <c r="CT50" s="977"/>
      <c r="CU50" s="691">
        <f t="shared" si="17"/>
        <v>0</v>
      </c>
      <c r="CW50" s="691">
        <f t="shared" si="7"/>
        <v>0</v>
      </c>
      <c r="CX50" s="691">
        <f t="shared" si="20"/>
        <v>10977936408.576</v>
      </c>
      <c r="CY50" s="894">
        <f t="shared" si="14"/>
        <v>0.125</v>
      </c>
      <c r="CZ50" s="975">
        <f t="shared" si="11"/>
        <v>1372242051.072</v>
      </c>
      <c r="DA50" s="691">
        <f t="shared" si="13"/>
        <v>2907467613.3295474</v>
      </c>
      <c r="DB50" s="183">
        <f t="shared" si="21"/>
        <v>0</v>
      </c>
      <c r="DC50" s="949">
        <f t="shared" si="10"/>
        <v>2043</v>
      </c>
    </row>
    <row r="51" spans="3:107" x14ac:dyDescent="0.3">
      <c r="C51" s="122"/>
      <c r="D51" s="7"/>
      <c r="E51" s="875">
        <f>E8</f>
        <v>22627229440.056168</v>
      </c>
      <c r="F51" s="7"/>
      <c r="G51" s="468" t="s">
        <v>1386</v>
      </c>
      <c r="H51" s="469"/>
      <c r="I51" s="470"/>
      <c r="J51" s="471"/>
      <c r="K51" s="470"/>
      <c r="BT51" s="277" t="s">
        <v>748</v>
      </c>
      <c r="BX51" s="239"/>
      <c r="BY51" s="76"/>
      <c r="CH51" s="332" t="s">
        <v>989</v>
      </c>
      <c r="CI51" s="953">
        <f t="shared" si="24"/>
        <v>2044</v>
      </c>
      <c r="CJ51" s="691">
        <f t="shared" si="25"/>
        <v>150822307298770.94</v>
      </c>
      <c r="CK51" s="894">
        <f t="shared" si="26"/>
        <v>2.5000000000000001E-2</v>
      </c>
      <c r="CL51" s="691">
        <f t="shared" si="27"/>
        <v>3770557682469.2734</v>
      </c>
      <c r="CN51" s="76"/>
      <c r="CO51" s="953">
        <f t="shared" si="19"/>
        <v>2044</v>
      </c>
      <c r="CP51" s="691">
        <f t="shared" si="22"/>
        <v>10737418.24</v>
      </c>
      <c r="CQ51" s="987">
        <v>64</v>
      </c>
      <c r="CR51" s="875">
        <f t="shared" si="16"/>
        <v>687194767.36000001</v>
      </c>
      <c r="CS51" s="969"/>
      <c r="CT51" s="977"/>
      <c r="CU51" s="691">
        <f t="shared" si="17"/>
        <v>0</v>
      </c>
      <c r="CW51" s="691">
        <f t="shared" si="7"/>
        <v>0</v>
      </c>
      <c r="CX51" s="691">
        <f t="shared" si="20"/>
        <v>10977936408.576</v>
      </c>
      <c r="CY51" s="894">
        <f t="shared" si="14"/>
        <v>0.125</v>
      </c>
      <c r="CZ51" s="975">
        <f t="shared" si="11"/>
        <v>1372242051.072</v>
      </c>
      <c r="DA51" s="691">
        <f t="shared" si="13"/>
        <v>2907467613.3295474</v>
      </c>
      <c r="DB51" s="183">
        <f t="shared" si="21"/>
        <v>0</v>
      </c>
      <c r="DC51" s="949">
        <f t="shared" si="10"/>
        <v>2044</v>
      </c>
    </row>
    <row r="52" spans="3:107" ht="16.2" thickBot="1" x14ac:dyDescent="0.35">
      <c r="C52" s="122"/>
      <c r="D52" s="7"/>
      <c r="E52" s="7"/>
      <c r="F52" s="127"/>
      <c r="G52" s="127" t="s">
        <v>280</v>
      </c>
      <c r="H52" s="7"/>
      <c r="I52" s="459" t="s">
        <v>282</v>
      </c>
      <c r="J52" s="122"/>
      <c r="K52" s="8"/>
      <c r="BT52" s="277" t="s">
        <v>747</v>
      </c>
      <c r="BV52" s="110" t="s">
        <v>746</v>
      </c>
      <c r="BX52" s="565" t="s">
        <v>891</v>
      </c>
      <c r="BY52" s="76"/>
      <c r="CH52" s="332" t="s">
        <v>989</v>
      </c>
      <c r="CI52" s="953">
        <f t="shared" si="24"/>
        <v>2045</v>
      </c>
      <c r="CJ52" s="691">
        <f t="shared" si="25"/>
        <v>154592864981240.22</v>
      </c>
      <c r="CK52" s="894">
        <f t="shared" si="26"/>
        <v>2.5000000000000001E-2</v>
      </c>
      <c r="CL52" s="691">
        <f t="shared" si="27"/>
        <v>3864821624531.0059</v>
      </c>
      <c r="CN52" s="76"/>
      <c r="CO52" s="953">
        <f t="shared" si="19"/>
        <v>2045</v>
      </c>
      <c r="CP52" s="691">
        <f t="shared" si="22"/>
        <v>10737418.24</v>
      </c>
      <c r="CQ52" s="987">
        <v>64</v>
      </c>
      <c r="CR52" s="875">
        <f t="shared" si="16"/>
        <v>687194767.36000001</v>
      </c>
      <c r="CS52" s="969"/>
      <c r="CT52" s="977"/>
      <c r="CU52" s="691">
        <f t="shared" si="17"/>
        <v>0</v>
      </c>
      <c r="CW52" s="691">
        <f t="shared" si="7"/>
        <v>0</v>
      </c>
      <c r="CX52" s="691">
        <f t="shared" si="20"/>
        <v>10977936408.576</v>
      </c>
      <c r="CY52" s="894">
        <f t="shared" si="14"/>
        <v>0.125</v>
      </c>
      <c r="CZ52" s="975">
        <f t="shared" si="11"/>
        <v>1372242051.072</v>
      </c>
      <c r="DA52" s="691">
        <f t="shared" si="13"/>
        <v>2907467613.3295474</v>
      </c>
      <c r="DB52" s="183">
        <f t="shared" si="21"/>
        <v>0</v>
      </c>
      <c r="DC52" s="949">
        <f t="shared" si="10"/>
        <v>2045</v>
      </c>
    </row>
    <row r="53" spans="3:107" ht="16.2" thickBot="1" x14ac:dyDescent="0.35">
      <c r="C53" s="122"/>
      <c r="D53" s="7"/>
      <c r="E53" s="7"/>
      <c r="F53" s="129">
        <v>0.25</v>
      </c>
      <c r="G53" s="130">
        <f>E57*F53</f>
        <v>314386679.74938524</v>
      </c>
      <c r="H53" s="460">
        <v>0.5</v>
      </c>
      <c r="I53" s="130">
        <f>G53*H53</f>
        <v>157193339.87469262</v>
      </c>
      <c r="J53" s="460">
        <v>0</v>
      </c>
      <c r="K53" s="458">
        <f>I53*J53</f>
        <v>0</v>
      </c>
      <c r="BR53" s="933">
        <f>BU53</f>
        <v>1024</v>
      </c>
      <c r="BS53" s="927" t="s">
        <v>745</v>
      </c>
      <c r="BT53" s="578">
        <f>BV53*BU53</f>
        <v>21990232555.52</v>
      </c>
      <c r="BU53" s="934">
        <v>1024</v>
      </c>
      <c r="BV53" s="578">
        <f>'POP Dimensions'!J15</f>
        <v>21474836.48</v>
      </c>
      <c r="BW53" s="239"/>
      <c r="BX53" s="565" t="s">
        <v>901</v>
      </c>
      <c r="BY53" s="484">
        <v>0.17</v>
      </c>
      <c r="BZ53" s="1" t="s">
        <v>895</v>
      </c>
      <c r="CH53" s="332" t="s">
        <v>989</v>
      </c>
      <c r="CI53" s="953">
        <f t="shared" si="24"/>
        <v>2046</v>
      </c>
      <c r="CJ53" s="691">
        <f t="shared" si="25"/>
        <v>158457686605771.22</v>
      </c>
      <c r="CK53" s="894">
        <f t="shared" si="26"/>
        <v>2.5000000000000001E-2</v>
      </c>
      <c r="CL53" s="691">
        <f t="shared" si="27"/>
        <v>3961442165144.2808</v>
      </c>
      <c r="CN53" s="76"/>
      <c r="CO53" s="953">
        <f t="shared" si="19"/>
        <v>2046</v>
      </c>
      <c r="CP53" s="691">
        <f t="shared" si="22"/>
        <v>10737418.24</v>
      </c>
      <c r="CQ53" s="987">
        <v>64</v>
      </c>
      <c r="CR53" s="875">
        <f t="shared" si="16"/>
        <v>687194767.36000001</v>
      </c>
      <c r="CS53" s="969"/>
      <c r="CT53" s="977"/>
      <c r="CU53" s="691">
        <f t="shared" si="17"/>
        <v>0</v>
      </c>
      <c r="CW53" s="691">
        <f t="shared" si="7"/>
        <v>0</v>
      </c>
      <c r="CX53" s="691">
        <f t="shared" si="20"/>
        <v>10977936408.576</v>
      </c>
      <c r="CY53" s="894">
        <f t="shared" si="14"/>
        <v>0.125</v>
      </c>
      <c r="CZ53" s="975">
        <f t="shared" si="11"/>
        <v>1372242051.072</v>
      </c>
      <c r="DA53" s="691">
        <f t="shared" si="13"/>
        <v>2907467613.3295474</v>
      </c>
      <c r="DB53" s="183">
        <f t="shared" si="21"/>
        <v>0</v>
      </c>
      <c r="DC53" s="949">
        <f t="shared" si="10"/>
        <v>2046</v>
      </c>
    </row>
    <row r="54" spans="3:107" ht="16.2" thickBot="1" x14ac:dyDescent="0.35">
      <c r="C54" s="122"/>
      <c r="D54" s="7"/>
      <c r="E54" s="7"/>
      <c r="F54" s="133"/>
      <c r="G54" s="134" t="s">
        <v>290</v>
      </c>
      <c r="H54" s="7"/>
      <c r="I54" s="457" t="s">
        <v>283</v>
      </c>
      <c r="J54" s="122"/>
      <c r="K54" s="8"/>
      <c r="BR54" s="927"/>
      <c r="BT54" s="999" t="s">
        <v>1355</v>
      </c>
      <c r="BU54" s="254"/>
      <c r="BV54" s="248" t="s">
        <v>1290</v>
      </c>
      <c r="BX54" s="566"/>
      <c r="BY54" s="76"/>
      <c r="CH54" s="332" t="s">
        <v>989</v>
      </c>
      <c r="CI54" s="953">
        <f t="shared" si="24"/>
        <v>2047</v>
      </c>
      <c r="CJ54" s="691">
        <f t="shared" si="25"/>
        <v>162419128770915.5</v>
      </c>
      <c r="CK54" s="894">
        <f t="shared" si="26"/>
        <v>2.5000000000000001E-2</v>
      </c>
      <c r="CL54" s="691">
        <f t="shared" si="27"/>
        <v>4060478219272.8877</v>
      </c>
      <c r="CN54" s="76"/>
      <c r="CO54" s="953">
        <f t="shared" si="19"/>
        <v>2047</v>
      </c>
      <c r="CP54" s="691">
        <f t="shared" si="22"/>
        <v>10737418.24</v>
      </c>
      <c r="CQ54" s="987">
        <v>64</v>
      </c>
      <c r="CR54" s="875">
        <f t="shared" si="16"/>
        <v>687194767.36000001</v>
      </c>
      <c r="CS54" s="969"/>
      <c r="CT54" s="977"/>
      <c r="CU54" s="691">
        <f t="shared" si="17"/>
        <v>0</v>
      </c>
      <c r="CW54" s="691">
        <f t="shared" si="7"/>
        <v>0</v>
      </c>
      <c r="CX54" s="691">
        <f t="shared" si="20"/>
        <v>10977936408.576</v>
      </c>
      <c r="CY54" s="894">
        <f t="shared" si="14"/>
        <v>0.125</v>
      </c>
      <c r="CZ54" s="975">
        <f t="shared" si="11"/>
        <v>1372242051.072</v>
      </c>
      <c r="DA54" s="691">
        <f t="shared" si="13"/>
        <v>2907467613.3295474</v>
      </c>
      <c r="DB54" s="183">
        <f t="shared" si="21"/>
        <v>0</v>
      </c>
      <c r="DC54" s="949">
        <f t="shared" si="10"/>
        <v>2047</v>
      </c>
    </row>
    <row r="55" spans="3:107" ht="16.2" thickBot="1" x14ac:dyDescent="0.35">
      <c r="C55" s="122"/>
      <c r="D55" s="7"/>
      <c r="E55" s="7"/>
      <c r="F55" s="133">
        <v>0.25</v>
      </c>
      <c r="G55" s="135">
        <f>E57*F55</f>
        <v>314386679.74938524</v>
      </c>
      <c r="H55" s="461">
        <v>0.9</v>
      </c>
      <c r="I55" s="135">
        <f>G55*H55</f>
        <v>282948011.77444673</v>
      </c>
      <c r="J55" s="461">
        <v>0</v>
      </c>
      <c r="K55" s="440">
        <f>I55*J55</f>
        <v>0</v>
      </c>
      <c r="BR55" s="239"/>
      <c r="BT55" s="1002" t="s">
        <v>867</v>
      </c>
      <c r="BU55" s="254"/>
      <c r="BV55" s="253"/>
      <c r="BX55" s="239"/>
      <c r="BY55" s="484">
        <v>0.17</v>
      </c>
      <c r="BZ55" s="32">
        <f>BY55</f>
        <v>0.17</v>
      </c>
      <c r="CH55" s="332" t="s">
        <v>989</v>
      </c>
      <c r="CI55" s="953">
        <f t="shared" si="24"/>
        <v>2048</v>
      </c>
      <c r="CJ55" s="691">
        <f t="shared" si="25"/>
        <v>166479606990188.38</v>
      </c>
      <c r="CK55" s="894">
        <f t="shared" si="26"/>
        <v>2.5000000000000001E-2</v>
      </c>
      <c r="CL55" s="691">
        <f t="shared" si="27"/>
        <v>4161990174754.7095</v>
      </c>
      <c r="CM55" s="895" t="s">
        <v>1280</v>
      </c>
      <c r="CN55" s="76"/>
      <c r="CO55" s="953">
        <f t="shared" si="19"/>
        <v>2048</v>
      </c>
      <c r="CP55" s="691">
        <f t="shared" si="22"/>
        <v>10737418.24</v>
      </c>
      <c r="CQ55" s="987">
        <v>64</v>
      </c>
      <c r="CR55" s="875">
        <f t="shared" si="16"/>
        <v>687194767.36000001</v>
      </c>
      <c r="CS55" s="969"/>
      <c r="CT55" s="977"/>
      <c r="CU55" s="691">
        <f t="shared" si="17"/>
        <v>0</v>
      </c>
      <c r="CW55" s="691">
        <f t="shared" si="7"/>
        <v>0</v>
      </c>
      <c r="CX55" s="691">
        <f t="shared" si="20"/>
        <v>10977936408.576</v>
      </c>
      <c r="CY55" s="894">
        <f t="shared" si="14"/>
        <v>0.125</v>
      </c>
      <c r="CZ55" s="975">
        <f t="shared" si="11"/>
        <v>1372242051.072</v>
      </c>
      <c r="DA55" s="691">
        <f t="shared" si="13"/>
        <v>2907467613.3295474</v>
      </c>
      <c r="DB55" s="183">
        <f t="shared" si="21"/>
        <v>0</v>
      </c>
      <c r="DC55" s="949">
        <f t="shared" si="10"/>
        <v>2048</v>
      </c>
    </row>
    <row r="56" spans="3:107" ht="18.600000000000001" thickBot="1" x14ac:dyDescent="0.4">
      <c r="C56" s="122"/>
      <c r="D56" s="7"/>
      <c r="E56" s="7"/>
      <c r="F56" s="136"/>
      <c r="G56" s="136" t="s">
        <v>279</v>
      </c>
      <c r="H56" s="7"/>
      <c r="I56" s="451" t="s">
        <v>284</v>
      </c>
      <c r="J56" s="122"/>
      <c r="K56" s="8"/>
      <c r="S56" s="88"/>
      <c r="BR56" s="239"/>
      <c r="BT56" s="719">
        <f>BT48-BT53</f>
        <v>290746761332.95471</v>
      </c>
      <c r="BU56" s="253"/>
      <c r="BV56" s="253"/>
      <c r="BW56" s="253"/>
      <c r="BX56" s="239" t="s">
        <v>892</v>
      </c>
      <c r="BY56" s="615">
        <f>BZ58</f>
        <v>22.945951820424131</v>
      </c>
      <c r="BZ56" s="569" t="s">
        <v>980</v>
      </c>
      <c r="CA56" s="569"/>
      <c r="CB56" s="181"/>
      <c r="CC56" s="181"/>
      <c r="CD56" s="252"/>
      <c r="CE56" s="252"/>
      <c r="CF56" s="252"/>
      <c r="CG56" s="252"/>
      <c r="CM56" s="1"/>
      <c r="CS56" s="979">
        <f>SUM(CS22:CS55)</f>
        <v>15.975</v>
      </c>
      <c r="CT56" s="979">
        <f>SUM(CT22:CT55)</f>
        <v>0</v>
      </c>
    </row>
    <row r="57" spans="3:107" ht="16.8" thickTop="1" thickBot="1" x14ac:dyDescent="0.35">
      <c r="C57" s="137" t="s">
        <v>291</v>
      </c>
      <c r="D57" s="138">
        <f>E57/E51</f>
        <v>5.5576698964803502E-2</v>
      </c>
      <c r="E57" s="139">
        <f>E14</f>
        <v>1257546718.997541</v>
      </c>
      <c r="F57" s="140">
        <v>0.5</v>
      </c>
      <c r="G57" s="139">
        <f>E57*F57</f>
        <v>628773359.49877048</v>
      </c>
      <c r="H57" s="463">
        <v>0.95</v>
      </c>
      <c r="I57" s="139">
        <f>G57*H57</f>
        <v>597334691.52383196</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7" t="s">
        <v>1293</v>
      </c>
      <c r="BT57" s="1003"/>
      <c r="BU57" s="253"/>
      <c r="BV57" s="877" t="s">
        <v>1293</v>
      </c>
      <c r="BW57" s="252"/>
      <c r="BX57" s="239"/>
      <c r="BY57" s="208">
        <f>BY50</f>
        <v>3.9008118094721027</v>
      </c>
      <c r="BZ57" s="80">
        <f>BY57</f>
        <v>3.9008118094721027</v>
      </c>
      <c r="CW57" s="77" t="s">
        <v>966</v>
      </c>
      <c r="CX57" s="77"/>
      <c r="CY57" s="77" t="s">
        <v>965</v>
      </c>
      <c r="CZ57" s="77"/>
      <c r="DA57" s="77"/>
    </row>
    <row r="58" spans="3:107"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7" t="s">
        <v>1294</v>
      </c>
      <c r="BT58" s="996">
        <f>BT56*BU58</f>
        <v>2907467613.3295474</v>
      </c>
      <c r="BU58" s="923">
        <v>0.01</v>
      </c>
      <c r="BV58" s="924" t="s">
        <v>1443</v>
      </c>
      <c r="BW58" s="925"/>
      <c r="BX58" s="239"/>
      <c r="BY58" s="76"/>
      <c r="BZ58" s="1">
        <f>BZ57/BZ55</f>
        <v>22.945951820424131</v>
      </c>
      <c r="CW58" s="77" t="s">
        <v>785</v>
      </c>
      <c r="CX58" s="77"/>
      <c r="CY58" s="77" t="s">
        <v>962</v>
      </c>
      <c r="CZ58" s="77"/>
      <c r="DA58" s="77"/>
    </row>
    <row r="59" spans="3:107"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76"/>
      <c r="BQ59" s="410"/>
      <c r="BR59" s="928"/>
      <c r="BS59" s="948" t="s">
        <v>1295</v>
      </c>
      <c r="BT59" s="911">
        <f>BT56*BU59</f>
        <v>5814935226.6590948</v>
      </c>
      <c r="BU59" s="912">
        <v>0.02</v>
      </c>
      <c r="BV59" s="875" t="s">
        <v>1162</v>
      </c>
      <c r="BW59" s="126"/>
      <c r="BX59" s="239"/>
      <c r="BY59" s="76"/>
      <c r="CD59" s="32"/>
    </row>
    <row r="60" spans="3:107" ht="16.2" thickBot="1" x14ac:dyDescent="0.35">
      <c r="C60" s="397" t="s">
        <v>276</v>
      </c>
      <c r="D60" s="398">
        <f>100%-D57-D63</f>
        <v>0.78125</v>
      </c>
      <c r="E60" s="399">
        <f>E51*D60</f>
        <v>17677523000.04388</v>
      </c>
      <c r="F60" s="400">
        <v>1</v>
      </c>
      <c r="G60" s="399">
        <f>E60*F60</f>
        <v>17677523000.04388</v>
      </c>
      <c r="H60" s="464">
        <v>0.9</v>
      </c>
      <c r="I60" s="399">
        <f>G60*H60</f>
        <v>15909770700.039494</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8" t="s">
        <v>1296</v>
      </c>
      <c r="BT60" s="911">
        <f>BT56*BU60</f>
        <v>11629870453.31819</v>
      </c>
      <c r="BU60" s="912">
        <v>0.04</v>
      </c>
      <c r="BV60" s="875" t="s">
        <v>1441</v>
      </c>
      <c r="BW60" s="126"/>
      <c r="BX60" s="239"/>
      <c r="BY60" s="691">
        <f>BY32+BY47</f>
        <v>213546725834.68051</v>
      </c>
      <c r="BZ60" s="1" t="s">
        <v>958</v>
      </c>
      <c r="CM60" s="1"/>
      <c r="CQ60" s="1"/>
      <c r="DB60" s="1"/>
      <c r="DC60" s="1"/>
    </row>
    <row r="61" spans="3:107"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10"/>
      <c r="BR61" s="927"/>
      <c r="BS61" s="948" t="s">
        <v>1297</v>
      </c>
      <c r="BT61" s="911">
        <f>BT56*BU61</f>
        <v>17444805679.977283</v>
      </c>
      <c r="BU61" s="912">
        <v>0.06</v>
      </c>
      <c r="BV61" s="875" t="s">
        <v>1303</v>
      </c>
      <c r="BW61" s="126"/>
      <c r="BX61" s="253"/>
      <c r="BY61" s="647">
        <f>BY60/BY47</f>
        <v>32.206494475776822</v>
      </c>
    </row>
    <row r="62" spans="3:107"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8" t="s">
        <v>1300</v>
      </c>
      <c r="BT62" s="911">
        <f>BT56*BU62</f>
        <v>26167208519.965923</v>
      </c>
      <c r="BU62" s="912">
        <v>0.09</v>
      </c>
      <c r="BV62" s="410" t="s">
        <v>1442</v>
      </c>
      <c r="BW62" s="126"/>
      <c r="BX62" s="253"/>
    </row>
    <row r="63" spans="3:107" ht="16.2" thickBot="1" x14ac:dyDescent="0.35">
      <c r="C63" s="149" t="s">
        <v>737</v>
      </c>
      <c r="D63" s="150">
        <f>E63/E51</f>
        <v>0.16317330103519651</v>
      </c>
      <c r="E63" s="151">
        <f>E21</f>
        <v>3692159721.0147457</v>
      </c>
      <c r="F63" s="152">
        <v>0.3</v>
      </c>
      <c r="G63" s="151">
        <f>E63*F63</f>
        <v>1107647916.3044236</v>
      </c>
      <c r="H63" s="465">
        <v>0.9</v>
      </c>
      <c r="I63" s="151">
        <f>G63*H63</f>
        <v>996883124.67398119</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26"/>
      <c r="BP63" s="410"/>
      <c r="BQ63" s="410"/>
      <c r="BR63" s="927"/>
      <c r="BS63" s="948" t="s">
        <v>1305</v>
      </c>
      <c r="BT63" s="911">
        <f>BT56*BU63</f>
        <v>11629870453.31819</v>
      </c>
      <c r="BU63" s="912">
        <v>0.04</v>
      </c>
      <c r="BV63" s="410" t="s">
        <v>148</v>
      </c>
      <c r="BW63" s="126"/>
      <c r="BX63" s="253"/>
    </row>
    <row r="64" spans="3:107"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64"/>
      <c r="BQ64" s="106"/>
      <c r="BR64" s="929"/>
      <c r="BS64" s="938"/>
      <c r="BT64" s="1004"/>
      <c r="BU64" s="1005"/>
      <c r="BV64" s="1005"/>
      <c r="BW64" s="903"/>
      <c r="BX64" s="253"/>
    </row>
    <row r="65" spans="3:107" ht="16.2" thickBot="1" x14ac:dyDescent="0.35">
      <c r="C65" s="141"/>
      <c r="D65" s="429"/>
      <c r="E65" s="371"/>
      <c r="F65" s="430">
        <v>0.25</v>
      </c>
      <c r="G65" s="432">
        <f>E63*F65</f>
        <v>923039930.25368643</v>
      </c>
      <c r="H65" s="466">
        <v>0.95</v>
      </c>
      <c r="I65" s="432">
        <f>G65*H65</f>
        <v>876887933.74100208</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64"/>
      <c r="BQ65" s="106"/>
      <c r="BR65" s="927"/>
      <c r="BS65" s="939" t="s">
        <v>1299</v>
      </c>
      <c r="BT65" s="1006">
        <f>BT53</f>
        <v>21990232555.52</v>
      </c>
      <c r="BU65" s="935">
        <f>BT65/BT56</f>
        <v>7.5633628573208517E-2</v>
      </c>
      <c r="BV65" s="898" t="s">
        <v>1311</v>
      </c>
      <c r="BW65" s="905"/>
      <c r="BX65" s="253"/>
    </row>
    <row r="66" spans="3:107"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64"/>
      <c r="BQ66" s="106"/>
      <c r="BR66" s="106"/>
      <c r="BS66" s="940" t="s">
        <v>1325</v>
      </c>
      <c r="BT66" s="930">
        <f>BT56*BU66</f>
        <v>2907467613.3295474</v>
      </c>
      <c r="BU66" s="931">
        <v>0.01</v>
      </c>
      <c r="BV66" s="898" t="s">
        <v>1315</v>
      </c>
      <c r="BW66" s="905"/>
      <c r="BX66" s="946">
        <v>272</v>
      </c>
      <c r="BY66" s="181" t="s">
        <v>1314</v>
      </c>
    </row>
    <row r="67" spans="3:107" ht="16.2" thickBot="1" x14ac:dyDescent="0.35">
      <c r="C67" s="122"/>
      <c r="D67" s="7"/>
      <c r="E67" s="7"/>
      <c r="F67" s="153">
        <v>0.2</v>
      </c>
      <c r="G67" s="99">
        <f>E63*F67</f>
        <v>738431944.20294917</v>
      </c>
      <c r="H67" s="467">
        <v>0.9</v>
      </c>
      <c r="I67" s="99">
        <f>G67*H67</f>
        <v>664588749.78265429</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64"/>
      <c r="BQ67" s="106"/>
      <c r="BR67" s="106"/>
      <c r="BS67" s="940" t="s">
        <v>1307</v>
      </c>
      <c r="BT67" s="930">
        <f>BT56*BU67</f>
        <v>14537338066.647736</v>
      </c>
      <c r="BU67" s="931">
        <v>0.05</v>
      </c>
      <c r="BV67" s="898" t="s">
        <v>1323</v>
      </c>
      <c r="BW67" s="905"/>
      <c r="BX67" s="945">
        <v>100</v>
      </c>
      <c r="BY67" s="938">
        <f>BX66*BX67</f>
        <v>27200</v>
      </c>
      <c r="BZ67" s="1" t="s">
        <v>1316</v>
      </c>
    </row>
    <row r="68" spans="3:107"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64"/>
      <c r="BQ68" s="106"/>
      <c r="BR68" s="251"/>
      <c r="BS68" s="940" t="s">
        <v>1308</v>
      </c>
      <c r="BT68" s="930">
        <f>BT56*BU68</f>
        <v>8722402839.9886417</v>
      </c>
      <c r="BU68" s="931">
        <v>0.03</v>
      </c>
      <c r="BV68" s="898" t="s">
        <v>1438</v>
      </c>
      <c r="BW68" s="905"/>
      <c r="BX68" s="600"/>
      <c r="BY68" s="1">
        <v>1000</v>
      </c>
      <c r="BZ68" s="1" t="s">
        <v>226</v>
      </c>
    </row>
    <row r="69" spans="3:107" ht="16.2" thickBot="1" x14ac:dyDescent="0.35">
      <c r="C69" s="122"/>
      <c r="D69" s="7"/>
      <c r="E69" s="7"/>
      <c r="F69" s="438">
        <v>0.2</v>
      </c>
      <c r="G69" s="446">
        <f>E63*F69</f>
        <v>738431944.20294917</v>
      </c>
      <c r="H69" s="447">
        <v>0.25</v>
      </c>
      <c r="I69" s="446">
        <f>G69*H69</f>
        <v>184607986.05073729</v>
      </c>
      <c r="J69" s="447">
        <v>0</v>
      </c>
      <c r="K69" s="439">
        <f>I69*J69</f>
        <v>0</v>
      </c>
      <c r="Q69" s="240" t="s">
        <v>952</v>
      </c>
      <c r="S69" s="88"/>
      <c r="W69" s="691">
        <f>BW47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8"/>
      <c r="BQ69" s="88"/>
      <c r="BR69" s="88"/>
      <c r="BS69" s="940" t="s">
        <v>1317</v>
      </c>
      <c r="BT69" s="930">
        <f>BT56*BU69</f>
        <v>8722402839.9886417</v>
      </c>
      <c r="BU69" s="931">
        <v>0.03</v>
      </c>
      <c r="BV69" s="898" t="s">
        <v>1356</v>
      </c>
      <c r="BW69" s="905"/>
      <c r="BX69" s="601"/>
      <c r="BY69" s="1">
        <f>BY67*BY68</f>
        <v>27200000</v>
      </c>
      <c r="BZ69" s="1" t="s">
        <v>1320</v>
      </c>
    </row>
    <row r="70" spans="3:107"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8"/>
      <c r="BQ70" s="88"/>
      <c r="BR70" s="88"/>
      <c r="BS70" s="940" t="s">
        <v>1318</v>
      </c>
      <c r="BT70" s="930">
        <f>BT56*BU70</f>
        <v>8722402839.9886417</v>
      </c>
      <c r="BU70" s="931">
        <v>0.03</v>
      </c>
      <c r="BV70" s="898" t="s">
        <v>1357</v>
      </c>
      <c r="BW70" s="905"/>
      <c r="BX70" s="600"/>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55">
        <f>BU53</f>
        <v>1024</v>
      </c>
      <c r="U71" s="77" t="s">
        <v>804</v>
      </c>
      <c r="V71" s="947"/>
      <c r="W71" s="319">
        <v>0.3</v>
      </c>
      <c r="Y71" s="76" t="s">
        <v>893</v>
      </c>
      <c r="Z71" s="76"/>
      <c r="AA71" s="77" t="s">
        <v>1332</v>
      </c>
      <c r="AB71" s="88"/>
      <c r="AE71" s="958"/>
      <c r="AF71" s="644" t="s">
        <v>986</v>
      </c>
      <c r="AG71" s="958"/>
      <c r="BN71" s="88"/>
      <c r="BO71" s="88"/>
      <c r="BP71" s="958"/>
      <c r="BQ71" s="88"/>
      <c r="BR71" s="88"/>
      <c r="BS71" s="940" t="s">
        <v>1319</v>
      </c>
      <c r="BT71" s="930">
        <f>BT56*BU71</f>
        <v>8722402839.9886417</v>
      </c>
      <c r="BU71" s="931">
        <v>0.03</v>
      </c>
      <c r="BV71" s="898" t="s">
        <v>1358</v>
      </c>
      <c r="BW71" s="905"/>
      <c r="BX71" s="936"/>
    </row>
    <row r="72" spans="3:107" x14ac:dyDescent="0.3">
      <c r="C72" s="158"/>
      <c r="D72" s="10"/>
      <c r="E72" s="10"/>
      <c r="F72" s="10"/>
      <c r="G72" s="159">
        <f>SUM(G53:G71)</f>
        <v>22442621454.005428</v>
      </c>
      <c r="H72" s="160"/>
      <c r="I72" s="172">
        <f>SUM(I53:I71)</f>
        <v>19670214537.460838</v>
      </c>
      <c r="J72" s="158"/>
      <c r="K72" s="481">
        <f>SUM(K53:K71)</f>
        <v>0</v>
      </c>
      <c r="L72" s="482">
        <f>BT34</f>
        <v>13.821267633183925</v>
      </c>
      <c r="M72" s="480">
        <f>K72*L72</f>
        <v>0</v>
      </c>
      <c r="N72" s="239"/>
      <c r="O72" s="950">
        <f>BU53</f>
        <v>1024</v>
      </c>
      <c r="P72" s="239"/>
      <c r="Q72" s="480">
        <f>M72*O72</f>
        <v>0</v>
      </c>
      <c r="R72" s="239"/>
      <c r="S72" s="956">
        <f>M72*S71</f>
        <v>0</v>
      </c>
      <c r="T72" s="239"/>
      <c r="U72" s="910">
        <f>Q72+S72</f>
        <v>0</v>
      </c>
      <c r="V72" s="949" t="s">
        <v>1330</v>
      </c>
      <c r="W72" s="910">
        <f>W69*W71</f>
        <v>1989164570.4746923</v>
      </c>
      <c r="X72" s="949" t="s">
        <v>1330</v>
      </c>
      <c r="Y72" s="910">
        <f>BT59+BT60+BT61+BT62+BT63</f>
        <v>72686690333.238678</v>
      </c>
      <c r="Z72" s="949" t="s">
        <v>1331</v>
      </c>
      <c r="AA72" s="910">
        <f>U72+W72+Y72</f>
        <v>74675854903.713364</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181"/>
      <c r="BP72" s="958"/>
      <c r="BQ72" s="88"/>
      <c r="BR72" s="88"/>
      <c r="BS72" s="940" t="s">
        <v>1312</v>
      </c>
      <c r="BT72" s="930">
        <f>BT56*BU72</f>
        <v>8722402839.9886417</v>
      </c>
      <c r="BU72" s="931">
        <v>0.03</v>
      </c>
      <c r="BV72" s="898" t="s">
        <v>1359</v>
      </c>
      <c r="BW72" s="905"/>
      <c r="BX72" s="812"/>
    </row>
    <row r="73" spans="3:107"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BO73" s="88"/>
      <c r="BP73" s="88"/>
      <c r="BQ73" s="88"/>
      <c r="BR73" s="88"/>
      <c r="BS73" s="940" t="s">
        <v>1313</v>
      </c>
      <c r="BT73" s="930">
        <f>BT56*BU73</f>
        <v>14537338066.647736</v>
      </c>
      <c r="BU73" s="931">
        <v>0.05</v>
      </c>
      <c r="BV73" s="898" t="s">
        <v>1361</v>
      </c>
      <c r="BW73" s="905"/>
      <c r="BX73" s="255"/>
    </row>
    <row r="74" spans="3:107"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BO74" s="88"/>
      <c r="BP74" s="252"/>
      <c r="BQ74" s="252"/>
      <c r="BR74" s="252"/>
      <c r="BS74" s="940" t="s">
        <v>1324</v>
      </c>
      <c r="BT74" s="930">
        <f>BT56*BU74</f>
        <v>29074676133.295471</v>
      </c>
      <c r="BU74" s="931">
        <v>0.1</v>
      </c>
      <c r="BV74" s="898" t="s">
        <v>1439</v>
      </c>
      <c r="BW74" s="905"/>
      <c r="BX74" s="255"/>
    </row>
    <row r="75" spans="3:107"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BO75" s="88"/>
      <c r="BP75" s="252"/>
      <c r="BQ75" s="88"/>
      <c r="BR75" s="88"/>
      <c r="BS75" s="940" t="s">
        <v>1306</v>
      </c>
      <c r="BT75" s="930">
        <f>BT56*BU75</f>
        <v>5814935226.6590948</v>
      </c>
      <c r="BU75" s="931">
        <v>0.02</v>
      </c>
      <c r="BV75" s="899" t="s">
        <v>1360</v>
      </c>
      <c r="BW75" s="932"/>
      <c r="BX75" s="255"/>
    </row>
    <row r="76" spans="3:107" x14ac:dyDescent="0.3">
      <c r="R76" s="88"/>
      <c r="S76" s="252"/>
      <c r="T76" s="88"/>
      <c r="U76" s="88"/>
      <c r="V76" s="88"/>
      <c r="W76" s="88"/>
      <c r="X76" s="88"/>
      <c r="Y76" s="88"/>
      <c r="Z76" s="361" t="s">
        <v>1347</v>
      </c>
      <c r="AA76" s="736">
        <f>AA72</f>
        <v>74675854903.713364</v>
      </c>
      <c r="AB76" s="88"/>
      <c r="AD76" s="960">
        <f t="shared" si="30"/>
        <v>2018</v>
      </c>
      <c r="AE76" s="691">
        <f t="shared" si="31"/>
        <v>5717501250</v>
      </c>
      <c r="AF76" s="963">
        <f t="shared" si="28"/>
        <v>2.5000000000000001E-2</v>
      </c>
      <c r="AG76" s="691">
        <f t="shared" si="29"/>
        <v>142937531.25</v>
      </c>
      <c r="BO76" s="88"/>
      <c r="BP76" s="252"/>
      <c r="BQ76" s="88"/>
      <c r="BR76" s="88"/>
      <c r="BS76" s="941" t="s">
        <v>1309</v>
      </c>
      <c r="BT76" s="930">
        <f>BT56*BU76</f>
        <v>5814935226.6590948</v>
      </c>
      <c r="BU76" s="931">
        <v>0.02</v>
      </c>
      <c r="BV76" s="899" t="s">
        <v>1440</v>
      </c>
      <c r="BW76" s="932"/>
      <c r="BX76" s="255"/>
    </row>
    <row r="77" spans="3:107"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BO77" s="88"/>
      <c r="BP77" s="88"/>
      <c r="BQ77" s="88"/>
      <c r="BR77" s="88"/>
      <c r="BS77" s="940" t="s">
        <v>1310</v>
      </c>
      <c r="BT77" s="904">
        <f>BT56*BU77</f>
        <v>14537338066.647736</v>
      </c>
      <c r="BU77" s="1065">
        <v>0.05</v>
      </c>
      <c r="BV77" s="898" t="s">
        <v>1362</v>
      </c>
      <c r="BW77" s="905"/>
      <c r="BX77" s="255"/>
    </row>
    <row r="78" spans="3:107" x14ac:dyDescent="0.3">
      <c r="R78" s="88"/>
      <c r="S78" s="252"/>
      <c r="T78" s="88"/>
      <c r="U78" s="88"/>
      <c r="V78" s="88"/>
      <c r="W78" s="88"/>
      <c r="X78" s="88"/>
      <c r="Y78" s="88"/>
      <c r="Z78" s="555" t="s">
        <v>1333</v>
      </c>
      <c r="AA78" s="957">
        <f>AA72/W72</f>
        <v>37.54131559154645</v>
      </c>
      <c r="AB78" s="252"/>
      <c r="AD78" s="960">
        <f t="shared" ref="AD78:AD106" si="32">AD77+1</f>
        <v>2020</v>
      </c>
      <c r="AE78" s="691">
        <f t="shared" si="31"/>
        <v>6006949750.78125</v>
      </c>
      <c r="AF78" s="963">
        <f t="shared" si="28"/>
        <v>2.5000000000000001E-2</v>
      </c>
      <c r="AG78" s="691">
        <f t="shared" si="29"/>
        <v>150173743.76953125</v>
      </c>
      <c r="BO78" s="88"/>
      <c r="BP78" s="88"/>
      <c r="BQ78" s="88"/>
      <c r="BR78" s="88"/>
      <c r="BS78" s="940" t="s">
        <v>1452</v>
      </c>
      <c r="BT78" s="904">
        <f>BT56*BU78</f>
        <v>14537338066.647736</v>
      </c>
      <c r="BU78" s="1065">
        <v>0.05</v>
      </c>
      <c r="BV78" s="898" t="s">
        <v>1450</v>
      </c>
      <c r="BW78" s="905"/>
      <c r="BX78" s="255"/>
    </row>
    <row r="79" spans="3:107"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BO79" s="88"/>
      <c r="BP79" s="88"/>
      <c r="BQ79" s="88"/>
      <c r="BR79" s="88"/>
      <c r="BS79" s="940" t="s">
        <v>1454</v>
      </c>
      <c r="BT79" s="904">
        <f>BT56*BU79</f>
        <v>14537338066.647736</v>
      </c>
      <c r="BU79" s="1065">
        <v>0.05</v>
      </c>
      <c r="BV79" s="898" t="s">
        <v>1455</v>
      </c>
      <c r="BW79" s="905"/>
      <c r="BX79" s="255"/>
    </row>
    <row r="80" spans="3:107"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BO80" s="88"/>
      <c r="BP80" s="88"/>
      <c r="BQ80" s="88"/>
      <c r="BR80" s="88"/>
      <c r="BS80" s="940" t="s">
        <v>1326</v>
      </c>
      <c r="BT80" s="904">
        <f>BT56*BU80</f>
        <v>11629870453.31819</v>
      </c>
      <c r="BU80" s="1065">
        <v>0.04</v>
      </c>
      <c r="BV80" s="898" t="s">
        <v>1348</v>
      </c>
      <c r="BW80" s="905"/>
      <c r="BX80" s="251"/>
    </row>
    <row r="81" spans="18:77"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BO81" s="88"/>
      <c r="BP81" s="88"/>
      <c r="BQ81" s="88"/>
      <c r="BR81" s="88"/>
      <c r="BS81" s="940" t="s">
        <v>1298</v>
      </c>
      <c r="BT81" s="930">
        <f>BT56*BU81</f>
        <v>11629870453.31819</v>
      </c>
      <c r="BU81" s="931">
        <v>0.04</v>
      </c>
      <c r="BV81" s="898" t="s">
        <v>1363</v>
      </c>
      <c r="BW81" s="905"/>
      <c r="BX81" s="251"/>
    </row>
    <row r="82" spans="18:77"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BO82" s="88"/>
      <c r="BP82" s="88"/>
      <c r="BQ82" s="88"/>
      <c r="BR82" s="88"/>
      <c r="BS82" s="942"/>
      <c r="BT82" s="1067"/>
      <c r="BU82" s="1068">
        <f>SUM(BU58:BU81)</f>
        <v>0.96563362857320889</v>
      </c>
      <c r="BV82" s="1069"/>
      <c r="BW82" s="1070"/>
      <c r="BX82" s="251"/>
    </row>
    <row r="83" spans="18:77"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BO83" s="88"/>
      <c r="BP83" s="88"/>
      <c r="BQ83" s="88"/>
      <c r="BR83" s="88"/>
      <c r="BS83" s="941" t="s">
        <v>1321</v>
      </c>
      <c r="BT83" s="904">
        <f>BT56*BU83</f>
        <v>9991911191.104908</v>
      </c>
      <c r="BU83" s="1065">
        <f>100%-BU82</f>
        <v>3.4366371426791109E-2</v>
      </c>
      <c r="BV83" s="898" t="s">
        <v>148</v>
      </c>
      <c r="BW83" s="905"/>
      <c r="BX83" s="251"/>
    </row>
    <row r="84" spans="18:77"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BO84" s="88"/>
      <c r="BP84" s="88"/>
      <c r="BQ84" s="88"/>
      <c r="BR84" s="88"/>
      <c r="BS84" s="943" t="s">
        <v>1322</v>
      </c>
      <c r="BT84" s="1071">
        <f>SUM(BT58:BT83)</f>
        <v>290746761332.95465</v>
      </c>
      <c r="BU84" s="1072">
        <f>BU82+BU83</f>
        <v>1</v>
      </c>
      <c r="BV84" s="1073" t="s">
        <v>59</v>
      </c>
      <c r="BW84" s="1074"/>
      <c r="BX84" s="251"/>
    </row>
    <row r="85" spans="18:77" x14ac:dyDescent="0.3">
      <c r="R85" s="88"/>
      <c r="S85" s="88"/>
      <c r="T85" s="88"/>
      <c r="U85" s="88"/>
      <c r="V85" s="88"/>
      <c r="AD85" s="960">
        <f t="shared" si="32"/>
        <v>2027</v>
      </c>
      <c r="AE85" s="691">
        <f t="shared" si="31"/>
        <v>7140375591.7544937</v>
      </c>
      <c r="AF85" s="963">
        <f t="shared" si="28"/>
        <v>2.5000000000000001E-2</v>
      </c>
      <c r="AG85" s="691">
        <f t="shared" si="29"/>
        <v>178509389.79386234</v>
      </c>
      <c r="BO85" s="88"/>
      <c r="BP85" s="88"/>
      <c r="BQ85" s="88"/>
      <c r="BR85" s="88"/>
      <c r="BS85" s="943" t="s">
        <v>1329</v>
      </c>
      <c r="BT85" s="179">
        <f>BT59+BT60+BT61+BT62+BT63</f>
        <v>72686690333.238678</v>
      </c>
      <c r="BU85" s="160"/>
      <c r="BV85" s="160" t="s">
        <v>1364</v>
      </c>
      <c r="BW85" s="303"/>
      <c r="BX85" s="251"/>
    </row>
    <row r="86" spans="18:77" x14ac:dyDescent="0.3">
      <c r="AD86" s="960">
        <f t="shared" si="32"/>
        <v>2028</v>
      </c>
      <c r="AE86" s="691">
        <f t="shared" si="31"/>
        <v>7318884981.5483561</v>
      </c>
      <c r="AF86" s="963">
        <f t="shared" si="28"/>
        <v>2.5000000000000001E-2</v>
      </c>
      <c r="AG86" s="691">
        <f t="shared" si="29"/>
        <v>182972124.53870893</v>
      </c>
      <c r="BO86" s="88"/>
      <c r="BP86" s="88"/>
      <c r="BQ86" s="88"/>
      <c r="BR86" s="88"/>
      <c r="BS86" s="364"/>
      <c r="BT86" s="1075"/>
      <c r="BU86" s="1076"/>
      <c r="BV86" s="1076"/>
      <c r="BW86" s="1077"/>
      <c r="BX86" s="251"/>
    </row>
    <row r="87" spans="18:77" x14ac:dyDescent="0.3">
      <c r="AD87" s="960">
        <f t="shared" si="32"/>
        <v>2029</v>
      </c>
      <c r="AE87" s="691">
        <f t="shared" si="31"/>
        <v>7501857106.0870647</v>
      </c>
      <c r="AF87" s="963">
        <f t="shared" si="28"/>
        <v>2.5000000000000001E-2</v>
      </c>
      <c r="AG87" s="691">
        <f t="shared" si="29"/>
        <v>187546427.65217662</v>
      </c>
      <c r="BO87" s="88"/>
      <c r="BP87" s="88"/>
      <c r="BQ87" s="88"/>
      <c r="BR87" s="88"/>
      <c r="BS87" s="1007" t="s">
        <v>1336</v>
      </c>
      <c r="BT87" s="1066">
        <f>AA72</f>
        <v>74675854903.713364</v>
      </c>
      <c r="BU87" s="251" t="s">
        <v>1335</v>
      </c>
      <c r="BV87" s="251"/>
      <c r="BW87" s="251"/>
      <c r="BX87" s="251"/>
    </row>
    <row r="88" spans="18:77" x14ac:dyDescent="0.3">
      <c r="AD88" s="960">
        <f t="shared" si="32"/>
        <v>2030</v>
      </c>
      <c r="AE88" s="691">
        <f t="shared" si="31"/>
        <v>7689403533.7392416</v>
      </c>
      <c r="AF88" s="963">
        <f t="shared" si="28"/>
        <v>2.5000000000000001E-2</v>
      </c>
      <c r="AG88" s="691">
        <f t="shared" si="29"/>
        <v>192235088.34348106</v>
      </c>
      <c r="BO88" s="88"/>
      <c r="BP88" s="88"/>
      <c r="BQ88" s="88"/>
      <c r="BR88" s="88"/>
      <c r="BS88" s="1008" t="s">
        <v>1337</v>
      </c>
      <c r="BT88" s="1009">
        <f>W72</f>
        <v>1989164570.4746923</v>
      </c>
      <c r="BU88" s="898" t="s">
        <v>1338</v>
      </c>
      <c r="BV88" s="898"/>
      <c r="BW88" s="251"/>
      <c r="BX88" s="251"/>
    </row>
    <row r="89" spans="18:77" x14ac:dyDescent="0.3">
      <c r="AD89" s="960">
        <f t="shared" si="32"/>
        <v>2031</v>
      </c>
      <c r="AE89" s="691">
        <f t="shared" si="31"/>
        <v>7881638622.0827227</v>
      </c>
      <c r="AF89" s="963">
        <f t="shared" si="28"/>
        <v>2.5000000000000001E-2</v>
      </c>
      <c r="AG89" s="691">
        <f t="shared" si="29"/>
        <v>197040965.55206808</v>
      </c>
      <c r="BO89" s="88"/>
      <c r="BP89" s="88"/>
      <c r="BQ89" s="88"/>
      <c r="BR89" s="88"/>
      <c r="BS89" s="106"/>
      <c r="BT89" s="745"/>
      <c r="BU89" s="251"/>
      <c r="BV89" s="251"/>
      <c r="BW89" s="251"/>
      <c r="BX89" s="251"/>
      <c r="BY89" s="252"/>
    </row>
    <row r="90" spans="18:77" x14ac:dyDescent="0.3">
      <c r="AD90" s="960">
        <f t="shared" si="32"/>
        <v>2032</v>
      </c>
      <c r="AE90" s="691">
        <f t="shared" si="31"/>
        <v>8078679587.6347904</v>
      </c>
      <c r="AF90" s="963">
        <f t="shared" si="28"/>
        <v>2.5000000000000001E-2</v>
      </c>
      <c r="AG90" s="691">
        <f t="shared" si="29"/>
        <v>201966989.69086978</v>
      </c>
      <c r="BO90" s="88"/>
      <c r="BP90" s="88"/>
      <c r="BQ90" s="88"/>
      <c r="BR90" s="88"/>
      <c r="BT90" s="999" t="s">
        <v>1355</v>
      </c>
      <c r="BU90" s="252"/>
      <c r="BV90" s="252"/>
      <c r="BW90" s="252"/>
      <c r="BX90" s="252"/>
      <c r="BY90" s="252"/>
    </row>
    <row r="91" spans="18:77" x14ac:dyDescent="0.3">
      <c r="AD91" s="960">
        <f t="shared" si="32"/>
        <v>2033</v>
      </c>
      <c r="AE91" s="691">
        <f t="shared" si="31"/>
        <v>8280646577.3256598</v>
      </c>
      <c r="AF91" s="963">
        <f t="shared" si="28"/>
        <v>2.5000000000000001E-2</v>
      </c>
      <c r="AG91" s="691">
        <f t="shared" si="29"/>
        <v>207016164.4331415</v>
      </c>
      <c r="BO91" s="88"/>
      <c r="BP91" s="88"/>
      <c r="BQ91" s="88"/>
      <c r="BR91" s="88"/>
      <c r="BU91" s="252"/>
      <c r="BV91" s="252"/>
      <c r="BW91" s="252"/>
      <c r="BX91" s="252"/>
      <c r="BY91" s="252"/>
    </row>
    <row r="92" spans="18:77" x14ac:dyDescent="0.3">
      <c r="AD92" s="960">
        <f t="shared" si="32"/>
        <v>2034</v>
      </c>
      <c r="AE92" s="691">
        <f t="shared" si="31"/>
        <v>8487662741.7588015</v>
      </c>
      <c r="AF92" s="963">
        <f t="shared" si="28"/>
        <v>2.5000000000000001E-2</v>
      </c>
      <c r="AG92" s="691">
        <f t="shared" si="29"/>
        <v>212191568.54397005</v>
      </c>
      <c r="BO92" s="88"/>
      <c r="BP92" s="88"/>
      <c r="BQ92" s="88"/>
      <c r="BR92" s="252"/>
      <c r="BU92" s="252"/>
      <c r="BV92" s="252"/>
      <c r="BW92" s="252"/>
      <c r="BX92" s="252"/>
      <c r="BY92" s="252"/>
    </row>
    <row r="93" spans="18:77" x14ac:dyDescent="0.3">
      <c r="AD93" s="960">
        <f t="shared" si="32"/>
        <v>2035</v>
      </c>
      <c r="AE93" s="691">
        <f t="shared" si="31"/>
        <v>8699854310.3027706</v>
      </c>
      <c r="AF93" s="963">
        <f t="shared" si="28"/>
        <v>2.5000000000000001E-2</v>
      </c>
      <c r="AG93" s="691">
        <f t="shared" si="29"/>
        <v>217496357.75756928</v>
      </c>
      <c r="BU93" s="252"/>
      <c r="BV93" s="252"/>
      <c r="BW93" s="252"/>
      <c r="BX93" s="252"/>
      <c r="BY93" s="252"/>
    </row>
    <row r="94" spans="18:77" x14ac:dyDescent="0.3">
      <c r="AD94" s="960">
        <f t="shared" si="32"/>
        <v>2036</v>
      </c>
      <c r="AE94" s="691">
        <f t="shared" si="31"/>
        <v>8917350668.060339</v>
      </c>
      <c r="AF94" s="963">
        <f t="shared" si="28"/>
        <v>2.5000000000000001E-2</v>
      </c>
      <c r="AG94" s="691">
        <f t="shared" si="29"/>
        <v>222933766.70150849</v>
      </c>
      <c r="BU94" s="252"/>
      <c r="BV94" s="252"/>
      <c r="BW94" s="252"/>
      <c r="BX94" s="252"/>
      <c r="BY94" s="252"/>
    </row>
    <row r="95" spans="18:77" x14ac:dyDescent="0.3">
      <c r="AD95" s="960">
        <f t="shared" si="32"/>
        <v>2037</v>
      </c>
      <c r="AE95" s="691">
        <f t="shared" si="31"/>
        <v>9140284434.7618465</v>
      </c>
      <c r="AF95" s="963">
        <f t="shared" si="28"/>
        <v>2.5000000000000001E-2</v>
      </c>
      <c r="AG95" s="691">
        <f t="shared" si="29"/>
        <v>228507110.86904618</v>
      </c>
      <c r="BU95" s="252"/>
      <c r="BV95" s="252"/>
      <c r="BW95" s="252"/>
      <c r="BX95" s="252"/>
      <c r="BY95" s="252"/>
    </row>
    <row r="96" spans="18:77" x14ac:dyDescent="0.3">
      <c r="AD96" s="960">
        <f t="shared" si="32"/>
        <v>2038</v>
      </c>
      <c r="AE96" s="691">
        <f t="shared" si="31"/>
        <v>9368791545.6308918</v>
      </c>
      <c r="AF96" s="963">
        <f t="shared" si="28"/>
        <v>2.5000000000000001E-2</v>
      </c>
      <c r="AG96" s="691">
        <f t="shared" si="29"/>
        <v>234219788.64077231</v>
      </c>
      <c r="BU96" s="252"/>
      <c r="BV96" s="252"/>
      <c r="BW96" s="252"/>
      <c r="BX96" s="252"/>
      <c r="BY96" s="252"/>
    </row>
    <row r="97" spans="30:77" x14ac:dyDescent="0.3">
      <c r="AD97" s="960">
        <f t="shared" si="32"/>
        <v>2039</v>
      </c>
      <c r="AE97" s="691">
        <f t="shared" si="31"/>
        <v>9603011334.2716637</v>
      </c>
      <c r="AF97" s="963">
        <f t="shared" si="28"/>
        <v>2.5000000000000001E-2</v>
      </c>
      <c r="AG97" s="691">
        <f t="shared" si="29"/>
        <v>240075283.35679162</v>
      </c>
      <c r="BU97" s="252"/>
      <c r="BV97" s="252"/>
      <c r="BW97" s="252"/>
      <c r="BX97" s="252"/>
      <c r="BY97" s="252"/>
    </row>
    <row r="98" spans="30:77" x14ac:dyDescent="0.3">
      <c r="AD98" s="960">
        <f t="shared" si="32"/>
        <v>2040</v>
      </c>
      <c r="AE98" s="691">
        <f t="shared" si="31"/>
        <v>9843086617.6284561</v>
      </c>
      <c r="AF98" s="963">
        <f t="shared" si="28"/>
        <v>2.5000000000000001E-2</v>
      </c>
      <c r="AG98" s="691">
        <f t="shared" si="29"/>
        <v>246077165.44071141</v>
      </c>
    </row>
    <row r="99" spans="30:77" x14ac:dyDescent="0.3">
      <c r="AD99" s="960">
        <f t="shared" si="32"/>
        <v>2041</v>
      </c>
      <c r="AE99" s="691">
        <f t="shared" si="31"/>
        <v>10089163783.069168</v>
      </c>
      <c r="AF99" s="963">
        <f t="shared" si="28"/>
        <v>2.5000000000000001E-2</v>
      </c>
      <c r="AG99" s="691">
        <f t="shared" si="29"/>
        <v>252229094.57672921</v>
      </c>
    </row>
    <row r="100" spans="30:77" x14ac:dyDescent="0.3">
      <c r="AD100" s="960">
        <f t="shared" si="32"/>
        <v>2042</v>
      </c>
      <c r="AE100" s="691">
        <f t="shared" si="31"/>
        <v>10341392877.645897</v>
      </c>
      <c r="AF100" s="963">
        <f t="shared" si="28"/>
        <v>2.5000000000000001E-2</v>
      </c>
      <c r="AG100" s="691">
        <f t="shared" si="29"/>
        <v>258534821.94114745</v>
      </c>
    </row>
    <row r="101" spans="30:77" x14ac:dyDescent="0.3">
      <c r="AD101" s="960">
        <f t="shared" si="32"/>
        <v>2043</v>
      </c>
      <c r="AE101" s="691">
        <f t="shared" si="31"/>
        <v>10599927699.587044</v>
      </c>
      <c r="AF101" s="963">
        <f t="shared" si="28"/>
        <v>2.5000000000000001E-2</v>
      </c>
      <c r="AG101" s="691">
        <f t="shared" si="29"/>
        <v>264998192.48967612</v>
      </c>
    </row>
    <row r="102" spans="30:77" x14ac:dyDescent="0.3">
      <c r="AD102" s="960">
        <f t="shared" si="32"/>
        <v>2044</v>
      </c>
      <c r="AE102" s="691">
        <f t="shared" si="31"/>
        <v>10864925892.076719</v>
      </c>
      <c r="AF102" s="963">
        <f t="shared" si="28"/>
        <v>2.5000000000000001E-2</v>
      </c>
      <c r="AG102" s="691">
        <f t="shared" si="29"/>
        <v>271623147.30191797</v>
      </c>
    </row>
    <row r="103" spans="30:77" x14ac:dyDescent="0.3">
      <c r="AD103" s="960">
        <f t="shared" si="32"/>
        <v>2045</v>
      </c>
      <c r="AE103" s="691">
        <f t="shared" si="31"/>
        <v>11136549039.378637</v>
      </c>
      <c r="AF103" s="963">
        <f t="shared" si="28"/>
        <v>2.5000000000000001E-2</v>
      </c>
      <c r="AG103" s="691">
        <f t="shared" si="29"/>
        <v>278413725.98446596</v>
      </c>
    </row>
    <row r="104" spans="30:77" x14ac:dyDescent="0.3">
      <c r="AD104" s="960">
        <f t="shared" si="32"/>
        <v>2046</v>
      </c>
      <c r="AE104" s="691">
        <f t="shared" si="31"/>
        <v>11414962765.363104</v>
      </c>
      <c r="AF104" s="963">
        <f t="shared" si="28"/>
        <v>2.5000000000000001E-2</v>
      </c>
      <c r="AG104" s="691">
        <f t="shared" si="29"/>
        <v>285374069.13407761</v>
      </c>
    </row>
    <row r="105" spans="30:77" x14ac:dyDescent="0.3">
      <c r="AD105" s="960">
        <f t="shared" si="32"/>
        <v>2047</v>
      </c>
      <c r="AE105" s="691">
        <f t="shared" si="31"/>
        <v>11700336834.497181</v>
      </c>
      <c r="AF105" s="963">
        <f t="shared" si="28"/>
        <v>2.5000000000000001E-2</v>
      </c>
      <c r="AG105" s="691">
        <f t="shared" si="29"/>
        <v>292508420.86242956</v>
      </c>
    </row>
    <row r="106" spans="30:77"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84D9B-3A4B-481D-B523-9DD1DDF93798}">
  <dimension ref="A2:DE106"/>
  <sheetViews>
    <sheetView showGridLines="0" topLeftCell="D1" workbookViewId="0">
      <selection activeCell="G7" sqref="G7"/>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3.1093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90"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CM2" s="916"/>
      <c r="CQ2" s="916"/>
      <c r="DB2" s="917"/>
      <c r="DC2" s="916"/>
    </row>
    <row r="3" spans="1:107" ht="25.95" customHeight="1" x14ac:dyDescent="0.5">
      <c r="C3" s="570" t="s">
        <v>1446</v>
      </c>
      <c r="F3" s="1081"/>
      <c r="G3" s="648"/>
      <c r="BT3" s="999" t="s">
        <v>1355</v>
      </c>
    </row>
    <row r="4" spans="1:107"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row>
    <row r="5" spans="1:107" ht="18.600000000000001" x14ac:dyDescent="0.45">
      <c r="C5" s="37" t="s">
        <v>972</v>
      </c>
      <c r="D5" s="619"/>
      <c r="E5" s="408">
        <f>E11</f>
        <v>11589098127.55139</v>
      </c>
      <c r="F5" s="1082">
        <v>1</v>
      </c>
      <c r="G5" s="408">
        <f>E5*F5</f>
        <v>11589098127.55139</v>
      </c>
      <c r="H5" s="409">
        <v>0.99</v>
      </c>
      <c r="I5" s="408">
        <f>G5*H5</f>
        <v>11473207146.275875</v>
      </c>
      <c r="J5" s="409">
        <v>1</v>
      </c>
      <c r="K5" s="408">
        <f>I5*J5</f>
        <v>11473207146.275875</v>
      </c>
      <c r="L5" s="409">
        <f>H5</f>
        <v>0.99</v>
      </c>
      <c r="M5" s="408">
        <f>K5*L5</f>
        <v>11358475074.813116</v>
      </c>
      <c r="N5" s="409">
        <f>J5</f>
        <v>1</v>
      </c>
      <c r="O5" s="408">
        <f>M5*N5</f>
        <v>11358475074.813116</v>
      </c>
      <c r="P5" s="409">
        <f>L5</f>
        <v>0.99</v>
      </c>
      <c r="Q5" s="408">
        <f>O5*P5</f>
        <v>11244890324.064985</v>
      </c>
      <c r="R5" s="409">
        <f>N5</f>
        <v>1</v>
      </c>
      <c r="S5" s="408">
        <f>Q5*R5</f>
        <v>11244890324.064985</v>
      </c>
      <c r="T5" s="409">
        <f>P5</f>
        <v>0.99</v>
      </c>
      <c r="U5" s="408">
        <f>S5*T5</f>
        <v>11132441420.824335</v>
      </c>
      <c r="V5" s="409">
        <f>R5</f>
        <v>1</v>
      </c>
      <c r="W5" s="408">
        <f>U5*V5</f>
        <v>11132441420.824335</v>
      </c>
      <c r="X5" s="409">
        <f>T5</f>
        <v>0.99</v>
      </c>
      <c r="Y5" s="408">
        <f>W5*X5</f>
        <v>11021117006.616091</v>
      </c>
      <c r="Z5" s="409">
        <f>V5</f>
        <v>1</v>
      </c>
      <c r="AA5" s="408">
        <f>Y5*Z5</f>
        <v>11021117006.616091</v>
      </c>
      <c r="AB5" s="409">
        <f>X5</f>
        <v>0.99</v>
      </c>
      <c r="AC5" s="408">
        <f>AA5*AB5</f>
        <v>10910905836.549931</v>
      </c>
      <c r="AD5" s="409">
        <f>Z5</f>
        <v>1</v>
      </c>
      <c r="AE5" s="408">
        <f>AC5*AD5</f>
        <v>10910905836.549931</v>
      </c>
      <c r="AF5" s="409">
        <f>AB5</f>
        <v>0.99</v>
      </c>
      <c r="AG5" s="408">
        <f>AE5*AF5</f>
        <v>10801796778.184431</v>
      </c>
      <c r="AH5" s="409">
        <f>AD5</f>
        <v>1</v>
      </c>
      <c r="AI5" s="408">
        <f>AG5*AH5</f>
        <v>10801796778.184431</v>
      </c>
      <c r="AJ5" s="409">
        <f>AF5</f>
        <v>0.99</v>
      </c>
      <c r="AK5" s="408">
        <f>AI5*AJ5</f>
        <v>10693778810.402586</v>
      </c>
      <c r="AL5" s="409">
        <f>AH5</f>
        <v>1</v>
      </c>
      <c r="AM5" s="408">
        <f>AK5*AL5</f>
        <v>10693778810.402586</v>
      </c>
      <c r="AN5" s="409">
        <f>AJ5</f>
        <v>0.99</v>
      </c>
      <c r="AO5" s="408">
        <f>AM5*AN5</f>
        <v>10586841022.298559</v>
      </c>
      <c r="AP5" s="409">
        <f>AL5</f>
        <v>1</v>
      </c>
      <c r="AQ5" s="408">
        <f>AO5*AP5</f>
        <v>10586841022.298559</v>
      </c>
      <c r="AR5" s="409">
        <f>AN5</f>
        <v>0.99</v>
      </c>
      <c r="AS5" s="408">
        <f>AQ5*AR5</f>
        <v>10480972612.075573</v>
      </c>
      <c r="AT5" s="409">
        <f>AP5</f>
        <v>1</v>
      </c>
      <c r="AU5" s="408">
        <f>AS5*AT5</f>
        <v>10480972612.075573</v>
      </c>
      <c r="AV5" s="409">
        <f>AR5</f>
        <v>0.99</v>
      </c>
      <c r="AW5" s="408">
        <f>AU5*AV5</f>
        <v>10376162885.954817</v>
      </c>
      <c r="AX5" s="409">
        <f>AT5</f>
        <v>1</v>
      </c>
      <c r="AY5" s="408">
        <f>AW5*AX5</f>
        <v>10376162885.954817</v>
      </c>
      <c r="AZ5" s="409">
        <f>AV5</f>
        <v>0.99</v>
      </c>
      <c r="BA5" s="408">
        <f>AY5*AZ5</f>
        <v>10272401257.095268</v>
      </c>
      <c r="BB5" s="409">
        <f>AX5</f>
        <v>1</v>
      </c>
      <c r="BC5" s="408">
        <f>BA5*BB5</f>
        <v>10272401257.095268</v>
      </c>
      <c r="BD5" s="409">
        <f>AR5</f>
        <v>0.99</v>
      </c>
      <c r="BE5" s="408">
        <f>BC5*BD5</f>
        <v>10169677244.524315</v>
      </c>
      <c r="BF5" s="409">
        <f>AT5</f>
        <v>1</v>
      </c>
      <c r="BG5" s="408">
        <f>BE5*BF5</f>
        <v>10169677244.524315</v>
      </c>
      <c r="BH5" s="409">
        <f>BD5</f>
        <v>0.99</v>
      </c>
      <c r="BI5" s="408">
        <f>BG5*BH5</f>
        <v>10067980472.079071</v>
      </c>
      <c r="BJ5" s="409">
        <f>BF5</f>
        <v>1</v>
      </c>
      <c r="BK5" s="408">
        <f>BI5*BJ5</f>
        <v>10067980472.079071</v>
      </c>
      <c r="BL5" s="409">
        <f>AB5</f>
        <v>0.99</v>
      </c>
      <c r="BM5" s="408">
        <f>BK5*BL5</f>
        <v>9967300667.3582802</v>
      </c>
      <c r="BN5" s="409">
        <f>AD5</f>
        <v>1</v>
      </c>
      <c r="BO5" s="408">
        <f>BM5*BN5</f>
        <v>9967300667.3582802</v>
      </c>
      <c r="BP5" s="409">
        <f>BL5</f>
        <v>0.99</v>
      </c>
      <c r="BQ5" s="408">
        <f>BO5*BP5</f>
        <v>9867627660.6846981</v>
      </c>
      <c r="BR5" s="409">
        <f>BN5</f>
        <v>1</v>
      </c>
      <c r="BS5" s="408">
        <f>BQ5*BR5</f>
        <v>9867627660.6846981</v>
      </c>
      <c r="BT5" s="719">
        <f>G5+I5+M5+Q5+U5+Y5+AC5+AG5+AK5+AO5+AS5+AW5+BA5+BE5+BI5+BM5+BQ5</f>
        <v>182014674347.35333</v>
      </c>
      <c r="BV5" s="621">
        <f>BP5</f>
        <v>0.99</v>
      </c>
      <c r="BW5" s="622">
        <f>BS5*BV5</f>
        <v>9768951384.0778503</v>
      </c>
      <c r="BX5" s="626"/>
      <c r="BY5" s="626"/>
      <c r="BZ5" s="627"/>
    </row>
    <row r="6" spans="1:107" x14ac:dyDescent="0.3">
      <c r="F6" s="1081"/>
      <c r="BT6" s="93"/>
      <c r="BZ6" s="628"/>
    </row>
    <row r="7" spans="1:107"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462" t="s">
        <v>749</v>
      </c>
      <c r="BM7" s="170" t="s">
        <v>1463</v>
      </c>
      <c r="BN7" s="175" t="s">
        <v>297</v>
      </c>
      <c r="BO7" s="170" t="s">
        <v>59</v>
      </c>
      <c r="BP7" s="301" t="s">
        <v>749</v>
      </c>
      <c r="BQ7" s="121" t="s">
        <v>1464</v>
      </c>
      <c r="BR7" s="173" t="s">
        <v>297</v>
      </c>
      <c r="BS7" s="121" t="s">
        <v>59</v>
      </c>
      <c r="BT7" s="121" t="s">
        <v>1457</v>
      </c>
      <c r="BV7" s="588" t="s">
        <v>1367</v>
      </c>
      <c r="BW7" s="121" t="s">
        <v>1372</v>
      </c>
      <c r="BZ7" s="628"/>
    </row>
    <row r="8" spans="1:107" x14ac:dyDescent="0.3">
      <c r="B8" s="584"/>
      <c r="C8" s="7"/>
      <c r="E8" s="875">
        <f>BT47</f>
        <v>23178196255.102779</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586" t="s">
        <v>1371</v>
      </c>
      <c r="BM8" s="470"/>
      <c r="BN8" s="471"/>
      <c r="BO8" s="470"/>
      <c r="BP8" s="587" t="s">
        <v>1371</v>
      </c>
      <c r="BQ8" s="303"/>
      <c r="BR8" s="179"/>
      <c r="BS8" s="303"/>
      <c r="BT8" s="126"/>
      <c r="BV8" s="589" t="s">
        <v>1371</v>
      </c>
      <c r="BW8" s="303"/>
      <c r="BZ8" s="628"/>
    </row>
    <row r="9" spans="1:107"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122"/>
      <c r="BQ9" s="459" t="s">
        <v>282</v>
      </c>
      <c r="BR9" s="122"/>
      <c r="BS9" s="8"/>
      <c r="BT9" s="126"/>
      <c r="BV9" s="122"/>
      <c r="BW9" s="459" t="s">
        <v>282</v>
      </c>
      <c r="BZ9" s="628"/>
    </row>
    <row r="10" spans="1:107" ht="16.2" thickBot="1" x14ac:dyDescent="0.35">
      <c r="B10" s="585"/>
      <c r="C10" s="1211"/>
      <c r="D10" s="630" t="s">
        <v>953</v>
      </c>
      <c r="E10" s="994">
        <f>BU53</f>
        <v>1024</v>
      </c>
      <c r="F10" s="1085">
        <v>0.25</v>
      </c>
      <c r="G10" s="130">
        <f>E14*F10</f>
        <v>322041908.95424575</v>
      </c>
      <c r="H10" s="460">
        <v>0.5</v>
      </c>
      <c r="I10" s="130">
        <f>G10*H10</f>
        <v>161020954.47712287</v>
      </c>
      <c r="J10" s="460">
        <v>1</v>
      </c>
      <c r="K10" s="458">
        <f>I10*J10</f>
        <v>161020954.47712287</v>
      </c>
      <c r="L10" s="129">
        <f>H10</f>
        <v>0.5</v>
      </c>
      <c r="M10" s="458">
        <f>K10*L10</f>
        <v>80510477.238561437</v>
      </c>
      <c r="N10" s="129">
        <f>J10</f>
        <v>1</v>
      </c>
      <c r="O10" s="458">
        <f>M10*N10</f>
        <v>80510477.238561437</v>
      </c>
      <c r="P10" s="129">
        <f>L10</f>
        <v>0.5</v>
      </c>
      <c r="Q10" s="458">
        <f>O10*P10</f>
        <v>40255238.619280718</v>
      </c>
      <c r="R10" s="129">
        <f>N10</f>
        <v>1</v>
      </c>
      <c r="S10" s="458">
        <f>Q10*R10</f>
        <v>40255238.619280718</v>
      </c>
      <c r="T10" s="129">
        <f>P10</f>
        <v>0.5</v>
      </c>
      <c r="U10" s="458">
        <f>S10*T10</f>
        <v>20127619.309640359</v>
      </c>
      <c r="V10" s="129">
        <f>R10</f>
        <v>1</v>
      </c>
      <c r="W10" s="458">
        <f>U10*V10</f>
        <v>20127619.309640359</v>
      </c>
      <c r="X10" s="129">
        <f>T10</f>
        <v>0.5</v>
      </c>
      <c r="Y10" s="458">
        <f>W10*X10</f>
        <v>10063809.65482018</v>
      </c>
      <c r="Z10" s="129">
        <f>V10</f>
        <v>1</v>
      </c>
      <c r="AA10" s="458">
        <f>Y10*Z10</f>
        <v>10063809.65482018</v>
      </c>
      <c r="AB10" s="129">
        <f>X10</f>
        <v>0.5</v>
      </c>
      <c r="AC10" s="458">
        <f>AA10*AB10</f>
        <v>5031904.8274100898</v>
      </c>
      <c r="AD10" s="129">
        <f>Z10</f>
        <v>1</v>
      </c>
      <c r="AE10" s="458">
        <f>AC10*AD10</f>
        <v>5031904.8274100898</v>
      </c>
      <c r="AF10" s="129">
        <f>AB10</f>
        <v>0.5</v>
      </c>
      <c r="AG10" s="458">
        <f>AE10*AF10</f>
        <v>2515952.4137050449</v>
      </c>
      <c r="AH10" s="129">
        <f>AD10</f>
        <v>1</v>
      </c>
      <c r="AI10" s="458">
        <f>AG10*AH10</f>
        <v>2515952.4137050449</v>
      </c>
      <c r="AJ10" s="129">
        <f>AF10</f>
        <v>0.5</v>
      </c>
      <c r="AK10" s="458">
        <f>AI10*AJ10</f>
        <v>1257976.2068525224</v>
      </c>
      <c r="AL10" s="129">
        <f>AH10</f>
        <v>1</v>
      </c>
      <c r="AM10" s="458">
        <f>AK10*AL10</f>
        <v>1257976.2068525224</v>
      </c>
      <c r="AN10" s="129">
        <f>AJ10</f>
        <v>0.5</v>
      </c>
      <c r="AO10" s="458">
        <f>AM10*AN10</f>
        <v>628988.10342626122</v>
      </c>
      <c r="AP10" s="129">
        <f>AL10</f>
        <v>1</v>
      </c>
      <c r="AQ10" s="458">
        <f>AO10*AP10</f>
        <v>628988.10342626122</v>
      </c>
      <c r="AR10" s="129">
        <f>AN10</f>
        <v>0.5</v>
      </c>
      <c r="AS10" s="458">
        <f>AQ10*AR10</f>
        <v>314494.05171313061</v>
      </c>
      <c r="AT10" s="129">
        <f>AP10</f>
        <v>1</v>
      </c>
      <c r="AU10" s="458">
        <f>AS10*AT10</f>
        <v>314494.05171313061</v>
      </c>
      <c r="AV10" s="129">
        <f>AR10</f>
        <v>0.5</v>
      </c>
      <c r="AW10" s="458">
        <f>AU10*AV10</f>
        <v>157247.02585656531</v>
      </c>
      <c r="AX10" s="129">
        <f>AT10</f>
        <v>1</v>
      </c>
      <c r="AY10" s="458">
        <f>AW10*AX10</f>
        <v>157247.02585656531</v>
      </c>
      <c r="AZ10" s="129">
        <f>AV10</f>
        <v>0.5</v>
      </c>
      <c r="BA10" s="458">
        <f>AY10*AZ10</f>
        <v>78623.512928282653</v>
      </c>
      <c r="BB10" s="129">
        <f>AX10</f>
        <v>1</v>
      </c>
      <c r="BC10" s="458">
        <f>BA10*BB10</f>
        <v>78623.512928282653</v>
      </c>
      <c r="BD10" s="129">
        <f>AR10</f>
        <v>0.5</v>
      </c>
      <c r="BE10" s="458">
        <f>BC10*BD10</f>
        <v>39311.756464141326</v>
      </c>
      <c r="BF10" s="129">
        <f>AT10</f>
        <v>1</v>
      </c>
      <c r="BG10" s="458">
        <f>BE10*BF10</f>
        <v>39311.756464141326</v>
      </c>
      <c r="BH10" s="129">
        <f>BD10</f>
        <v>0.5</v>
      </c>
      <c r="BI10" s="458">
        <f>BG10*BH10</f>
        <v>19655.878232070663</v>
      </c>
      <c r="BJ10" s="129">
        <f>BF10</f>
        <v>1</v>
      </c>
      <c r="BK10" s="458">
        <f>BI10*BJ10</f>
        <v>19655.878232070663</v>
      </c>
      <c r="BL10" s="129">
        <f>AB10</f>
        <v>0.5</v>
      </c>
      <c r="BM10" s="458">
        <f>BK10*BL10</f>
        <v>9827.9391160353316</v>
      </c>
      <c r="BN10" s="129">
        <f>AD10</f>
        <v>1</v>
      </c>
      <c r="BO10" s="458">
        <f>BM10*BN10</f>
        <v>9827.9391160353316</v>
      </c>
      <c r="BP10" s="129">
        <f>BL10</f>
        <v>0.5</v>
      </c>
      <c r="BQ10" s="458">
        <f>BO10*BP10</f>
        <v>4913.9695580176658</v>
      </c>
      <c r="BR10" s="129">
        <f>BN10</f>
        <v>1</v>
      </c>
      <c r="BS10" s="458">
        <f>BQ10*BR10</f>
        <v>4913.9695580176658</v>
      </c>
      <c r="BT10" s="719">
        <f>G10+I10+M10+Q10+U10+Y10+AC10+AG10+AK10+AO10+AS10+AW10+BA10+BE10+BI10+BM10+BQ10</f>
        <v>644078903.93893337</v>
      </c>
      <c r="BV10" s="590">
        <f>BP10</f>
        <v>0.5</v>
      </c>
      <c r="BW10" s="458">
        <f>BS10*BV10</f>
        <v>2456.9847790088329</v>
      </c>
      <c r="BX10" s="623"/>
      <c r="BY10" s="624"/>
      <c r="BZ10" s="628"/>
    </row>
    <row r="11" spans="1:107" ht="16.2" thickBot="1" x14ac:dyDescent="0.35">
      <c r="B11" s="585"/>
      <c r="C11" s="1078"/>
      <c r="D11" s="630" t="s">
        <v>1291</v>
      </c>
      <c r="E11" s="631">
        <f>E8/2</f>
        <v>11589098127.55139</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122"/>
      <c r="BQ11" s="457" t="s">
        <v>283</v>
      </c>
      <c r="BR11" s="122"/>
      <c r="BS11" s="8"/>
      <c r="BT11" s="126"/>
      <c r="BV11" s="122"/>
      <c r="BW11" s="457" t="s">
        <v>283</v>
      </c>
      <c r="BX11" s="623"/>
      <c r="BY11" s="623"/>
      <c r="BZ11" s="628"/>
    </row>
    <row r="12" spans="1:107" ht="16.2" thickBot="1" x14ac:dyDescent="0.35">
      <c r="B12" s="584"/>
      <c r="E12" s="997">
        <f>E9*E10</f>
        <v>0</v>
      </c>
      <c r="F12" s="1086">
        <v>0.25</v>
      </c>
      <c r="G12" s="135">
        <f>E14*F12</f>
        <v>322041908.95424575</v>
      </c>
      <c r="H12" s="461">
        <v>0.99</v>
      </c>
      <c r="I12" s="135">
        <f>G12*H12</f>
        <v>318821489.8647033</v>
      </c>
      <c r="J12" s="461">
        <v>1</v>
      </c>
      <c r="K12" s="440">
        <f>I12*J12</f>
        <v>318821489.8647033</v>
      </c>
      <c r="L12" s="133">
        <f>H12</f>
        <v>0.99</v>
      </c>
      <c r="M12" s="440">
        <f>K12*L12</f>
        <v>315633274.96605629</v>
      </c>
      <c r="N12" s="133">
        <f>J12</f>
        <v>1</v>
      </c>
      <c r="O12" s="440">
        <f>M12*N12</f>
        <v>315633274.96605629</v>
      </c>
      <c r="P12" s="133">
        <f>L12</f>
        <v>0.99</v>
      </c>
      <c r="Q12" s="440">
        <f>O12*P12</f>
        <v>312476942.21639574</v>
      </c>
      <c r="R12" s="133">
        <f>N12</f>
        <v>1</v>
      </c>
      <c r="S12" s="440">
        <f>Q12*R12</f>
        <v>312476942.21639574</v>
      </c>
      <c r="T12" s="133">
        <f>P12</f>
        <v>0.99</v>
      </c>
      <c r="U12" s="440">
        <f>S12*T12</f>
        <v>309352172.79423177</v>
      </c>
      <c r="V12" s="133">
        <f>R12</f>
        <v>1</v>
      </c>
      <c r="W12" s="440">
        <f>U12*V12</f>
        <v>309352172.79423177</v>
      </c>
      <c r="X12" s="133">
        <f>T12</f>
        <v>0.99</v>
      </c>
      <c r="Y12" s="440">
        <f>W12*X12</f>
        <v>306258651.06628942</v>
      </c>
      <c r="Z12" s="133">
        <f>V12</f>
        <v>1</v>
      </c>
      <c r="AA12" s="440">
        <f>Y12*Z12</f>
        <v>306258651.06628942</v>
      </c>
      <c r="AB12" s="133">
        <f>X12</f>
        <v>0.99</v>
      </c>
      <c r="AC12" s="440">
        <f>AA12*AB12</f>
        <v>303196064.55562651</v>
      </c>
      <c r="AD12" s="133">
        <f>Z12</f>
        <v>1</v>
      </c>
      <c r="AE12" s="440">
        <f>AC12*AD12</f>
        <v>303196064.55562651</v>
      </c>
      <c r="AF12" s="133">
        <f>AB12</f>
        <v>0.99</v>
      </c>
      <c r="AG12" s="440">
        <f>AE12*AF12</f>
        <v>300164103.91007024</v>
      </c>
      <c r="AH12" s="133">
        <f>AD12</f>
        <v>1</v>
      </c>
      <c r="AI12" s="440">
        <f>AG12*AH12</f>
        <v>300164103.91007024</v>
      </c>
      <c r="AJ12" s="133">
        <f>AF12</f>
        <v>0.99</v>
      </c>
      <c r="AK12" s="440">
        <f>AI12*AJ12</f>
        <v>297162462.87096953</v>
      </c>
      <c r="AL12" s="133">
        <f>AH12</f>
        <v>1</v>
      </c>
      <c r="AM12" s="440">
        <f>AK12*AL12</f>
        <v>297162462.87096953</v>
      </c>
      <c r="AN12" s="133">
        <f>AJ12</f>
        <v>0.99</v>
      </c>
      <c r="AO12" s="440">
        <f>AM12*AN12</f>
        <v>294190838.24225986</v>
      </c>
      <c r="AP12" s="133">
        <f>AL12</f>
        <v>1</v>
      </c>
      <c r="AQ12" s="440">
        <f>AO12*AP12</f>
        <v>294190838.24225986</v>
      </c>
      <c r="AR12" s="133">
        <f>AN12</f>
        <v>0.99</v>
      </c>
      <c r="AS12" s="440">
        <f>AQ12*AR12</f>
        <v>291248929.85983723</v>
      </c>
      <c r="AT12" s="133">
        <f>AP12</f>
        <v>1</v>
      </c>
      <c r="AU12" s="440">
        <f>AS12*AT12</f>
        <v>291248929.85983723</v>
      </c>
      <c r="AV12" s="133">
        <f>AR12</f>
        <v>0.99</v>
      </c>
      <c r="AW12" s="440">
        <f>AU12*AV12</f>
        <v>288336440.56123888</v>
      </c>
      <c r="AX12" s="133">
        <f>AT12</f>
        <v>1</v>
      </c>
      <c r="AY12" s="440">
        <f>AW12*AX12</f>
        <v>288336440.56123888</v>
      </c>
      <c r="AZ12" s="133">
        <f>AV12</f>
        <v>0.99</v>
      </c>
      <c r="BA12" s="440">
        <f>AY12*AZ12</f>
        <v>285453076.15562648</v>
      </c>
      <c r="BB12" s="133">
        <f>AX12</f>
        <v>1</v>
      </c>
      <c r="BC12" s="440">
        <f>BA12*BB12</f>
        <v>285453076.15562648</v>
      </c>
      <c r="BD12" s="133">
        <f>AR12</f>
        <v>0.99</v>
      </c>
      <c r="BE12" s="440">
        <f>BC12*BD12</f>
        <v>282598545.39407021</v>
      </c>
      <c r="BF12" s="133">
        <f>AT12</f>
        <v>1</v>
      </c>
      <c r="BG12" s="440">
        <f>BE12*BF12</f>
        <v>282598545.39407021</v>
      </c>
      <c r="BH12" s="133">
        <f>BD12</f>
        <v>0.99</v>
      </c>
      <c r="BI12" s="440">
        <f>BG12*BH12</f>
        <v>279772559.94012952</v>
      </c>
      <c r="BJ12" s="133">
        <f>BF12</f>
        <v>1</v>
      </c>
      <c r="BK12" s="440">
        <f>BI12*BJ12</f>
        <v>279772559.94012952</v>
      </c>
      <c r="BL12" s="133">
        <f>AB12</f>
        <v>0.99</v>
      </c>
      <c r="BM12" s="440">
        <f>BK12*BL12</f>
        <v>276974834.34072822</v>
      </c>
      <c r="BN12" s="133">
        <f>AD12</f>
        <v>1</v>
      </c>
      <c r="BO12" s="440">
        <f>BM12*BN12</f>
        <v>276974834.34072822</v>
      </c>
      <c r="BP12" s="133">
        <f>BL12</f>
        <v>0.99</v>
      </c>
      <c r="BQ12" s="440">
        <f>BO12*BP12</f>
        <v>274205085.99732095</v>
      </c>
      <c r="BR12" s="133">
        <f>BN12</f>
        <v>1</v>
      </c>
      <c r="BS12" s="440">
        <f>BQ12*BR12</f>
        <v>274205085.99732095</v>
      </c>
      <c r="BT12" s="719">
        <f>G12+I12+M12+Q12+U12+Y12+AC12+AG12+AK12+AO12+AS12+AW12+BA12+BE12+BI12+BM12+BQ12</f>
        <v>5057887381.6897993</v>
      </c>
      <c r="BV12" s="591">
        <f>BP12</f>
        <v>0.99</v>
      </c>
      <c r="BW12" s="440">
        <f>BS12*BV12</f>
        <v>271463035.13734776</v>
      </c>
      <c r="BX12" s="623"/>
      <c r="BY12" s="624"/>
      <c r="BZ12" s="628"/>
    </row>
    <row r="13" spans="1:107"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122"/>
      <c r="BQ13" s="451" t="s">
        <v>284</v>
      </c>
      <c r="BR13" s="122"/>
      <c r="BS13" s="8"/>
      <c r="BT13" s="126"/>
      <c r="BV13" s="122"/>
      <c r="BW13" s="451" t="s">
        <v>284</v>
      </c>
      <c r="BX13" s="623"/>
      <c r="BY13" s="623"/>
      <c r="BZ13" s="628"/>
    </row>
    <row r="14" spans="1:107" ht="16.2" thickBot="1" x14ac:dyDescent="0.35">
      <c r="A14" s="162"/>
      <c r="B14" s="162"/>
      <c r="C14" s="137" t="s">
        <v>291</v>
      </c>
      <c r="D14" s="1212">
        <v>0.111153397929607</v>
      </c>
      <c r="E14" s="139">
        <f>E11*D14</f>
        <v>1288167635.816983</v>
      </c>
      <c r="F14" s="1088">
        <v>0.5</v>
      </c>
      <c r="G14" s="139">
        <f>E14*F14</f>
        <v>644083817.90849149</v>
      </c>
      <c r="H14" s="463">
        <v>0.99</v>
      </c>
      <c r="I14" s="139">
        <f>G14*H14</f>
        <v>637642979.7294066</v>
      </c>
      <c r="J14" s="463">
        <v>1</v>
      </c>
      <c r="K14" s="441">
        <f>I14*J14</f>
        <v>637642979.7294066</v>
      </c>
      <c r="L14" s="140">
        <f>H14</f>
        <v>0.99</v>
      </c>
      <c r="M14" s="441">
        <f>K14*L14</f>
        <v>631266549.93211257</v>
      </c>
      <c r="N14" s="140">
        <f>J14</f>
        <v>1</v>
      </c>
      <c r="O14" s="441">
        <f>M14*N14</f>
        <v>631266549.93211257</v>
      </c>
      <c r="P14" s="140">
        <f>L14</f>
        <v>0.99</v>
      </c>
      <c r="Q14" s="441">
        <f>O14*P14</f>
        <v>624953884.43279147</v>
      </c>
      <c r="R14" s="140">
        <f>N14</f>
        <v>1</v>
      </c>
      <c r="S14" s="441">
        <f>Q14*R14</f>
        <v>624953884.43279147</v>
      </c>
      <c r="T14" s="140">
        <f>P14</f>
        <v>0.99</v>
      </c>
      <c r="U14" s="441">
        <f>S14*T14</f>
        <v>618704345.58846354</v>
      </c>
      <c r="V14" s="140">
        <f>R14</f>
        <v>1</v>
      </c>
      <c r="W14" s="441">
        <f>U14*V14</f>
        <v>618704345.58846354</v>
      </c>
      <c r="X14" s="140">
        <f>T14</f>
        <v>0.99</v>
      </c>
      <c r="Y14" s="441">
        <f>W14*X14</f>
        <v>612517302.13257885</v>
      </c>
      <c r="Z14" s="140">
        <f>V14</f>
        <v>1</v>
      </c>
      <c r="AA14" s="441">
        <f>Y14*Z14</f>
        <v>612517302.13257885</v>
      </c>
      <c r="AB14" s="140">
        <f>X14</f>
        <v>0.99</v>
      </c>
      <c r="AC14" s="441">
        <f>AA14*AB14</f>
        <v>606392129.11125302</v>
      </c>
      <c r="AD14" s="140">
        <f>Z14</f>
        <v>1</v>
      </c>
      <c r="AE14" s="441">
        <f>AC14*AD14</f>
        <v>606392129.11125302</v>
      </c>
      <c r="AF14" s="140">
        <f>AB14</f>
        <v>0.99</v>
      </c>
      <c r="AG14" s="441">
        <f>AE14*AF14</f>
        <v>600328207.82014048</v>
      </c>
      <c r="AH14" s="140">
        <f>AD14</f>
        <v>1</v>
      </c>
      <c r="AI14" s="441">
        <f>AG14*AH14</f>
        <v>600328207.82014048</v>
      </c>
      <c r="AJ14" s="140">
        <f>AF14</f>
        <v>0.99</v>
      </c>
      <c r="AK14" s="441">
        <f>AI14*AJ14</f>
        <v>594324925.74193907</v>
      </c>
      <c r="AL14" s="140">
        <f>AH14</f>
        <v>1</v>
      </c>
      <c r="AM14" s="441">
        <f>AK14*AL14</f>
        <v>594324925.74193907</v>
      </c>
      <c r="AN14" s="140">
        <f>AJ14</f>
        <v>0.99</v>
      </c>
      <c r="AO14" s="441">
        <f>AM14*AN14</f>
        <v>588381676.48451972</v>
      </c>
      <c r="AP14" s="140">
        <f>AL14</f>
        <v>1</v>
      </c>
      <c r="AQ14" s="441">
        <f>AO14*AP14</f>
        <v>588381676.48451972</v>
      </c>
      <c r="AR14" s="140">
        <f>AN14</f>
        <v>0.99</v>
      </c>
      <c r="AS14" s="441">
        <f>AQ14*AR14</f>
        <v>582497859.71967447</v>
      </c>
      <c r="AT14" s="140">
        <f>AP14</f>
        <v>1</v>
      </c>
      <c r="AU14" s="441">
        <f>AS14*AT14</f>
        <v>582497859.71967447</v>
      </c>
      <c r="AV14" s="140">
        <f>AR14</f>
        <v>0.99</v>
      </c>
      <c r="AW14" s="441">
        <f>AU14*AV14</f>
        <v>576672881.12247777</v>
      </c>
      <c r="AX14" s="140">
        <f>AT14</f>
        <v>1</v>
      </c>
      <c r="AY14" s="441">
        <f>AW14*AX14</f>
        <v>576672881.12247777</v>
      </c>
      <c r="AZ14" s="140">
        <f>AV14</f>
        <v>0.99</v>
      </c>
      <c r="BA14" s="441">
        <f>AY14*AZ14</f>
        <v>570906152.31125295</v>
      </c>
      <c r="BB14" s="140">
        <f>AX14</f>
        <v>1</v>
      </c>
      <c r="BC14" s="441">
        <f>BA14*BB14</f>
        <v>570906152.31125295</v>
      </c>
      <c r="BD14" s="140">
        <f>AR14</f>
        <v>0.99</v>
      </c>
      <c r="BE14" s="441">
        <f>BC14*BD14</f>
        <v>565197090.78814042</v>
      </c>
      <c r="BF14" s="140">
        <f>AT14</f>
        <v>1</v>
      </c>
      <c r="BG14" s="441">
        <f>BE14*BF14</f>
        <v>565197090.78814042</v>
      </c>
      <c r="BH14" s="140">
        <f>BD14</f>
        <v>0.99</v>
      </c>
      <c r="BI14" s="441">
        <f>BG14*BH14</f>
        <v>559545119.88025904</v>
      </c>
      <c r="BJ14" s="140">
        <f>BF14</f>
        <v>1</v>
      </c>
      <c r="BK14" s="441">
        <f>BI14*BJ14</f>
        <v>559545119.88025904</v>
      </c>
      <c r="BL14" s="140">
        <f>AB14</f>
        <v>0.99</v>
      </c>
      <c r="BM14" s="441">
        <f>BK14*BL14</f>
        <v>553949668.68145645</v>
      </c>
      <c r="BN14" s="140">
        <f>AD14</f>
        <v>1</v>
      </c>
      <c r="BO14" s="441">
        <f>BM14*BN14</f>
        <v>553949668.68145645</v>
      </c>
      <c r="BP14" s="140">
        <f>BL14</f>
        <v>0.99</v>
      </c>
      <c r="BQ14" s="441">
        <f>BO14*BP14</f>
        <v>548410171.9946419</v>
      </c>
      <c r="BR14" s="140">
        <f>BN14</f>
        <v>1</v>
      </c>
      <c r="BS14" s="441">
        <f>BQ14*BR14</f>
        <v>548410171.9946419</v>
      </c>
      <c r="BT14" s="719">
        <f>G14+I14+M14+Q14+U14+Y14+AC14+AG14+AK14+AO14+AS14+AW14+BA14+BE14+BI14+BM14+BQ14</f>
        <v>10115774763.379599</v>
      </c>
      <c r="BV14" s="592">
        <f>BP14</f>
        <v>0.99</v>
      </c>
      <c r="BW14" s="441">
        <f>BS14*BV14</f>
        <v>542926070.27469552</v>
      </c>
      <c r="BX14" s="623"/>
      <c r="BY14" s="624"/>
      <c r="BZ14" s="628"/>
    </row>
    <row r="15" spans="1:107"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23"/>
      <c r="BY15" s="623"/>
      <c r="BZ15" s="628"/>
    </row>
    <row r="16" spans="1:107"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455"/>
      <c r="BQ16" s="454" t="s">
        <v>744</v>
      </c>
      <c r="BR16" s="141"/>
      <c r="BS16" s="164"/>
      <c r="BT16" s="126"/>
      <c r="BV16" s="455"/>
      <c r="BW16" s="454" t="s">
        <v>744</v>
      </c>
      <c r="BX16" s="625"/>
      <c r="BY16" s="625"/>
      <c r="BZ16" s="628"/>
      <c r="CM16" s="233"/>
      <c r="CQ16" s="233"/>
      <c r="DB16" s="345"/>
      <c r="DC16" s="233"/>
    </row>
    <row r="17" spans="1:109" ht="16.2" thickBot="1" x14ac:dyDescent="0.35">
      <c r="A17" s="18"/>
      <c r="B17" s="18"/>
      <c r="C17" s="397" t="s">
        <v>276</v>
      </c>
      <c r="D17" s="1213">
        <f>100%-D14-D21</f>
        <v>0.5625</v>
      </c>
      <c r="E17" s="399">
        <f>E11*D17</f>
        <v>6518867696.7476568</v>
      </c>
      <c r="F17" s="1090">
        <v>1</v>
      </c>
      <c r="G17" s="399">
        <f>E17*F17</f>
        <v>6518867696.7476568</v>
      </c>
      <c r="H17" s="464">
        <v>0.99</v>
      </c>
      <c r="I17" s="399">
        <f>G17*H17</f>
        <v>6453679019.78018</v>
      </c>
      <c r="J17" s="464">
        <v>1</v>
      </c>
      <c r="K17" s="453">
        <f>I17*J17</f>
        <v>6453679019.78018</v>
      </c>
      <c r="L17" s="400">
        <f>H17</f>
        <v>0.99</v>
      </c>
      <c r="M17" s="453">
        <f>K17*L17</f>
        <v>6389142229.5823784</v>
      </c>
      <c r="N17" s="400">
        <f>J17</f>
        <v>1</v>
      </c>
      <c r="O17" s="453">
        <f>M17*N17</f>
        <v>6389142229.5823784</v>
      </c>
      <c r="P17" s="400">
        <f>L17</f>
        <v>0.99</v>
      </c>
      <c r="Q17" s="453">
        <f>O17*P17</f>
        <v>6325250807.2865543</v>
      </c>
      <c r="R17" s="400">
        <f>N17</f>
        <v>1</v>
      </c>
      <c r="S17" s="453">
        <f>Q17*R17</f>
        <v>6325250807.2865543</v>
      </c>
      <c r="T17" s="400">
        <f>P17</f>
        <v>0.99</v>
      </c>
      <c r="U17" s="453">
        <f>S17*T17</f>
        <v>6261998299.2136889</v>
      </c>
      <c r="V17" s="400">
        <f>R17</f>
        <v>1</v>
      </c>
      <c r="W17" s="453">
        <f>U17*V17</f>
        <v>6261998299.2136889</v>
      </c>
      <c r="X17" s="400">
        <f>T17</f>
        <v>0.99</v>
      </c>
      <c r="Y17" s="453">
        <f>W17*X17</f>
        <v>6199378316.2215519</v>
      </c>
      <c r="Z17" s="400">
        <f>V17</f>
        <v>1</v>
      </c>
      <c r="AA17" s="453">
        <f>Y17*Z17</f>
        <v>6199378316.2215519</v>
      </c>
      <c r="AB17" s="400">
        <f>X17</f>
        <v>0.99</v>
      </c>
      <c r="AC17" s="453">
        <f>AA17*AB17</f>
        <v>6137384533.0593367</v>
      </c>
      <c r="AD17" s="400">
        <f>Z17</f>
        <v>1</v>
      </c>
      <c r="AE17" s="453">
        <f>AC17*AD17</f>
        <v>6137384533.0593367</v>
      </c>
      <c r="AF17" s="400">
        <f>AB17</f>
        <v>0.99</v>
      </c>
      <c r="AG17" s="453">
        <f>AE17*AF17</f>
        <v>6076010687.7287436</v>
      </c>
      <c r="AH17" s="400">
        <f>AD17</f>
        <v>1</v>
      </c>
      <c r="AI17" s="453">
        <f>AG17*AH17</f>
        <v>6076010687.7287436</v>
      </c>
      <c r="AJ17" s="400">
        <f>AF17</f>
        <v>0.99</v>
      </c>
      <c r="AK17" s="453">
        <f>AI17*AJ17</f>
        <v>6015250580.8514557</v>
      </c>
      <c r="AL17" s="400">
        <f>AH17</f>
        <v>1</v>
      </c>
      <c r="AM17" s="453">
        <f>AK17*AL17</f>
        <v>6015250580.8514557</v>
      </c>
      <c r="AN17" s="400">
        <f>AJ17</f>
        <v>0.99</v>
      </c>
      <c r="AO17" s="453">
        <f>AM17*AN17</f>
        <v>5955098075.0429411</v>
      </c>
      <c r="AP17" s="400">
        <f>AL17</f>
        <v>1</v>
      </c>
      <c r="AQ17" s="453">
        <f>AO17*AP17</f>
        <v>5955098075.0429411</v>
      </c>
      <c r="AR17" s="400">
        <f>AN17</f>
        <v>0.99</v>
      </c>
      <c r="AS17" s="453">
        <f>AQ17*AR17</f>
        <v>5895547094.2925119</v>
      </c>
      <c r="AT17" s="400">
        <f>AP17</f>
        <v>1</v>
      </c>
      <c r="AU17" s="453">
        <f>AS17*AT17</f>
        <v>5895547094.2925119</v>
      </c>
      <c r="AV17" s="400">
        <f>AR17</f>
        <v>0.99</v>
      </c>
      <c r="AW17" s="453">
        <f>AU17*AV17</f>
        <v>5836591623.3495865</v>
      </c>
      <c r="AX17" s="400">
        <f>AT17</f>
        <v>1</v>
      </c>
      <c r="AY17" s="453">
        <f>AW17*AX17</f>
        <v>5836591623.3495865</v>
      </c>
      <c r="AZ17" s="400">
        <f>AV17</f>
        <v>0.99</v>
      </c>
      <c r="BA17" s="453">
        <f>AY17*AZ17</f>
        <v>5778225707.1160908</v>
      </c>
      <c r="BB17" s="400">
        <f>AX17</f>
        <v>1</v>
      </c>
      <c r="BC17" s="453">
        <f>BA17*BB17</f>
        <v>5778225707.1160908</v>
      </c>
      <c r="BD17" s="400">
        <f>AR17</f>
        <v>0.99</v>
      </c>
      <c r="BE17" s="453">
        <f>BC17*BD17</f>
        <v>5720443450.0449295</v>
      </c>
      <c r="BF17" s="400">
        <f>AT17</f>
        <v>1</v>
      </c>
      <c r="BG17" s="453">
        <f>BE17*BF17</f>
        <v>5720443450.0449295</v>
      </c>
      <c r="BH17" s="400">
        <f>BD17</f>
        <v>0.99</v>
      </c>
      <c r="BI17" s="453">
        <f>BG17*BH17</f>
        <v>5663239015.5444803</v>
      </c>
      <c r="BJ17" s="400">
        <f>BF17</f>
        <v>1</v>
      </c>
      <c r="BK17" s="453">
        <f>BI17*BJ17</f>
        <v>5663239015.5444803</v>
      </c>
      <c r="BL17" s="400">
        <f>AB17</f>
        <v>0.99</v>
      </c>
      <c r="BM17" s="453">
        <f>BK17*BL17</f>
        <v>5606606625.3890352</v>
      </c>
      <c r="BN17" s="400">
        <f>AD17</f>
        <v>1</v>
      </c>
      <c r="BO17" s="453">
        <f>BM17*BN17</f>
        <v>5606606625.3890352</v>
      </c>
      <c r="BP17" s="400">
        <f>BL17</f>
        <v>0.99</v>
      </c>
      <c r="BQ17" s="453">
        <f>BO17*BP17</f>
        <v>5550540559.1351452</v>
      </c>
      <c r="BR17" s="400">
        <f>BN17</f>
        <v>1</v>
      </c>
      <c r="BS17" s="453">
        <f>BQ17*BR17</f>
        <v>5550540559.1351452</v>
      </c>
      <c r="BT17" s="719">
        <f>G17+I17+M17+Q17+U17+Y17+AC17+AG17+AK17+AO17+AS17+AW17+BA17+BE17+BI17+BM17+BQ17</f>
        <v>102383254320.38626</v>
      </c>
      <c r="BV17" s="593">
        <f>BP17</f>
        <v>0.99</v>
      </c>
      <c r="BW17" s="453">
        <f>BS17*BV17</f>
        <v>5495035153.5437937</v>
      </c>
      <c r="BX17" s="623"/>
      <c r="BY17" s="624"/>
      <c r="BZ17" s="628"/>
      <c r="CP17" s="974" t="s">
        <v>872</v>
      </c>
      <c r="CR17" s="974" t="s">
        <v>872</v>
      </c>
      <c r="CU17" s="974" t="s">
        <v>872</v>
      </c>
    </row>
    <row r="18" spans="1:109"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23"/>
      <c r="BY18" s="623"/>
      <c r="BZ18" s="628"/>
      <c r="CP18" s="974" t="s">
        <v>5</v>
      </c>
      <c r="CR18" s="974" t="s">
        <v>7</v>
      </c>
      <c r="CU18" s="77" t="s">
        <v>968</v>
      </c>
    </row>
    <row r="19" spans="1:109"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23"/>
      <c r="BY19" s="623"/>
      <c r="BZ19" s="628"/>
      <c r="CC19" s="473"/>
      <c r="CD19" s="473"/>
      <c r="CE19" s="473"/>
      <c r="CF19" s="473"/>
      <c r="CG19" s="473"/>
      <c r="CH19" s="473"/>
      <c r="CI19" s="473"/>
      <c r="CJ19" s="473"/>
      <c r="CK19" s="473"/>
      <c r="CL19" s="473"/>
      <c r="CM19" s="970"/>
      <c r="CN19" s="485"/>
      <c r="CO19" s="485"/>
      <c r="CP19" s="485" t="s">
        <v>961</v>
      </c>
      <c r="CQ19" s="485" t="s">
        <v>967</v>
      </c>
      <c r="CR19" s="485" t="s">
        <v>59</v>
      </c>
      <c r="CS19" s="485" t="s">
        <v>1343</v>
      </c>
      <c r="CT19" s="485" t="s">
        <v>1344</v>
      </c>
      <c r="CU19" s="485"/>
      <c r="CV19" s="473"/>
      <c r="CW19" s="485" t="s">
        <v>966</v>
      </c>
      <c r="CX19" s="485" t="s">
        <v>974</v>
      </c>
      <c r="CY19" s="485" t="s">
        <v>965</v>
      </c>
      <c r="CZ19" s="485" t="s">
        <v>965</v>
      </c>
      <c r="DA19" s="485" t="s">
        <v>1345</v>
      </c>
      <c r="DB19" s="305" t="s">
        <v>1286</v>
      </c>
      <c r="DC19" s="304"/>
    </row>
    <row r="20" spans="1:109"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122"/>
      <c r="BQ20" s="450" t="s">
        <v>285</v>
      </c>
      <c r="BR20" s="122"/>
      <c r="BS20" s="8"/>
      <c r="BT20" s="126"/>
      <c r="BV20" s="122"/>
      <c r="BW20" s="450" t="s">
        <v>285</v>
      </c>
      <c r="BX20" s="623"/>
      <c r="BY20" s="623"/>
      <c r="BZ20" s="628"/>
      <c r="CC20" s="473"/>
      <c r="CD20" s="473"/>
      <c r="CE20" s="473"/>
      <c r="CF20" s="473"/>
      <c r="CG20" s="473"/>
      <c r="CH20" s="473"/>
      <c r="CI20" s="473"/>
      <c r="CJ20" s="473"/>
      <c r="CK20" s="473"/>
      <c r="CL20" s="473"/>
      <c r="CM20" s="970"/>
      <c r="CN20" s="485"/>
      <c r="CO20" s="485"/>
      <c r="CP20" s="971">
        <f>'POP Dimensions'!C15</f>
        <v>10737418.24</v>
      </c>
      <c r="CQ20" s="954">
        <v>64</v>
      </c>
      <c r="CR20" s="972">
        <f>CQ20*CP20</f>
        <v>687194767.36000001</v>
      </c>
      <c r="CS20" s="954">
        <v>16</v>
      </c>
      <c r="CT20" s="954"/>
      <c r="CU20" s="971">
        <f>CR20*CS20</f>
        <v>10995116277.76</v>
      </c>
      <c r="CV20" s="473"/>
      <c r="CW20" s="485" t="s">
        <v>785</v>
      </c>
      <c r="CX20" s="485"/>
      <c r="CY20" s="485" t="s">
        <v>962</v>
      </c>
      <c r="CZ20" s="485" t="s">
        <v>1341</v>
      </c>
      <c r="DA20" s="485" t="s">
        <v>1342</v>
      </c>
      <c r="DB20" s="305"/>
      <c r="DC20" s="304"/>
    </row>
    <row r="21" spans="1:109" ht="16.2" thickBot="1" x14ac:dyDescent="0.35">
      <c r="C21" s="149" t="s">
        <v>737</v>
      </c>
      <c r="D21" s="1214">
        <v>0.32634660207039301</v>
      </c>
      <c r="E21" s="151">
        <f>E11*D21</f>
        <v>3782062794.9867501</v>
      </c>
      <c r="F21" s="1092">
        <v>0.3</v>
      </c>
      <c r="G21" s="151">
        <f>E21*F21</f>
        <v>1134618838.4960251</v>
      </c>
      <c r="H21" s="465">
        <v>0.99</v>
      </c>
      <c r="I21" s="151">
        <f>G21*H21</f>
        <v>1123272650.1110649</v>
      </c>
      <c r="J21" s="465">
        <v>1</v>
      </c>
      <c r="K21" s="444">
        <f>I21*J21</f>
        <v>1123272650.1110649</v>
      </c>
      <c r="L21" s="152">
        <f>H21</f>
        <v>0.99</v>
      </c>
      <c r="M21" s="444">
        <f>K21*L21</f>
        <v>1112039923.6099544</v>
      </c>
      <c r="N21" s="152">
        <f>J21</f>
        <v>1</v>
      </c>
      <c r="O21" s="444">
        <f>M21*N21</f>
        <v>1112039923.6099544</v>
      </c>
      <c r="P21" s="152">
        <f>L21</f>
        <v>0.99</v>
      </c>
      <c r="Q21" s="444">
        <f>O21*P21</f>
        <v>1100919524.3738549</v>
      </c>
      <c r="R21" s="152">
        <f>N21</f>
        <v>1</v>
      </c>
      <c r="S21" s="444">
        <f>Q21*R21</f>
        <v>1100919524.3738549</v>
      </c>
      <c r="T21" s="152">
        <f>P21</f>
        <v>0.99</v>
      </c>
      <c r="U21" s="444">
        <f>S21*T21</f>
        <v>1089910329.1301162</v>
      </c>
      <c r="V21" s="152">
        <f>R21</f>
        <v>1</v>
      </c>
      <c r="W21" s="444">
        <f>U21*V21</f>
        <v>1089910329.1301162</v>
      </c>
      <c r="X21" s="152">
        <f>T21</f>
        <v>0.99</v>
      </c>
      <c r="Y21" s="444">
        <f>W21*X21</f>
        <v>1079011225.838815</v>
      </c>
      <c r="Z21" s="152">
        <f>V21</f>
        <v>1</v>
      </c>
      <c r="AA21" s="444">
        <f>Y21*Z21</f>
        <v>1079011225.838815</v>
      </c>
      <c r="AB21" s="152">
        <f>X21</f>
        <v>0.99</v>
      </c>
      <c r="AC21" s="444">
        <f>AA21*AB21</f>
        <v>1068221113.5804268</v>
      </c>
      <c r="AD21" s="152">
        <f>Z21</f>
        <v>1</v>
      </c>
      <c r="AE21" s="444">
        <f>AC21*AD21</f>
        <v>1068221113.5804268</v>
      </c>
      <c r="AF21" s="152">
        <f>AB21</f>
        <v>0.99</v>
      </c>
      <c r="AG21" s="444">
        <f>AE21*AF21</f>
        <v>1057538902.4446225</v>
      </c>
      <c r="AH21" s="152">
        <f>AD21</f>
        <v>1</v>
      </c>
      <c r="AI21" s="444">
        <f>AG21*AH21</f>
        <v>1057538902.4446225</v>
      </c>
      <c r="AJ21" s="152">
        <f>AF21</f>
        <v>0.99</v>
      </c>
      <c r="AK21" s="444">
        <f>AI21*AJ21</f>
        <v>1046963513.4201763</v>
      </c>
      <c r="AL21" s="152">
        <f>AH21</f>
        <v>1</v>
      </c>
      <c r="AM21" s="444">
        <f>AK21*AL21</f>
        <v>1046963513.4201763</v>
      </c>
      <c r="AN21" s="152">
        <f>AJ21</f>
        <v>0.99</v>
      </c>
      <c r="AO21" s="444">
        <f>AM21*AN21</f>
        <v>1036493878.2859745</v>
      </c>
      <c r="AP21" s="152">
        <f>AL21</f>
        <v>1</v>
      </c>
      <c r="AQ21" s="444">
        <f>AO21*AP21</f>
        <v>1036493878.2859745</v>
      </c>
      <c r="AR21" s="152">
        <f>AN21</f>
        <v>0.99</v>
      </c>
      <c r="AS21" s="444">
        <f>AQ21*AR21</f>
        <v>1026128939.5031147</v>
      </c>
      <c r="AT21" s="152">
        <f>AP21</f>
        <v>1</v>
      </c>
      <c r="AU21" s="444">
        <f>AS21*AT21</f>
        <v>1026128939.5031147</v>
      </c>
      <c r="AV21" s="152">
        <f>AR21</f>
        <v>0.99</v>
      </c>
      <c r="AW21" s="444">
        <f>AU21*AV21</f>
        <v>1015867650.1080835</v>
      </c>
      <c r="AX21" s="152">
        <f>AT21</f>
        <v>1</v>
      </c>
      <c r="AY21" s="444">
        <f>AW21*AX21</f>
        <v>1015867650.1080835</v>
      </c>
      <c r="AZ21" s="152">
        <f>AV21</f>
        <v>0.99</v>
      </c>
      <c r="BA21" s="444">
        <f>AY21*AZ21</f>
        <v>1005708973.6070026</v>
      </c>
      <c r="BB21" s="152">
        <f>AX21</f>
        <v>1</v>
      </c>
      <c r="BC21" s="444">
        <f>BA21*BB21</f>
        <v>1005708973.6070026</v>
      </c>
      <c r="BD21" s="152">
        <f>AR21</f>
        <v>0.99</v>
      </c>
      <c r="BE21" s="444">
        <f>BC21*BD21</f>
        <v>995651883.87093258</v>
      </c>
      <c r="BF21" s="152">
        <f>AT21</f>
        <v>1</v>
      </c>
      <c r="BG21" s="444">
        <f>BE21*BF21</f>
        <v>995651883.87093258</v>
      </c>
      <c r="BH21" s="152">
        <f>BD21</f>
        <v>0.99</v>
      </c>
      <c r="BI21" s="444">
        <f>BG21*BH21</f>
        <v>985695365.03222322</v>
      </c>
      <c r="BJ21" s="152">
        <f>BF21</f>
        <v>1</v>
      </c>
      <c r="BK21" s="444">
        <f>BI21*BJ21</f>
        <v>985695365.03222322</v>
      </c>
      <c r="BL21" s="152">
        <f>AB21</f>
        <v>0.99</v>
      </c>
      <c r="BM21" s="444">
        <f>BK21*BL21</f>
        <v>975838411.38190103</v>
      </c>
      <c r="BN21" s="152">
        <f>AD21</f>
        <v>1</v>
      </c>
      <c r="BO21" s="444">
        <f>BM21*BN21</f>
        <v>975838411.38190103</v>
      </c>
      <c r="BP21" s="152">
        <f>BL21</f>
        <v>0.99</v>
      </c>
      <c r="BQ21" s="444">
        <f>BO21*BP21</f>
        <v>966080027.26808202</v>
      </c>
      <c r="BR21" s="152">
        <f>BN21</f>
        <v>1</v>
      </c>
      <c r="BS21" s="444">
        <f>BQ21*BR21</f>
        <v>966080027.26808202</v>
      </c>
      <c r="BT21" s="719">
        <f>G21+I21+M21+Q21+U21+Y21+AC21+AG21+AK21+AO21+AS21+AW21+BA21+BE21+BI21+BM21+BQ21</f>
        <v>17819961150.06237</v>
      </c>
      <c r="BV21" s="594">
        <f>BP21</f>
        <v>0.99</v>
      </c>
      <c r="BW21" s="444">
        <f>BS21*BV21</f>
        <v>956419226.99540114</v>
      </c>
      <c r="BX21" s="623"/>
      <c r="BY21" s="624"/>
      <c r="BZ21" s="628"/>
      <c r="CC21" s="473"/>
      <c r="CS21" s="976"/>
      <c r="CT21" s="976"/>
      <c r="DC21" s="913"/>
    </row>
    <row r="22" spans="1:109"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437"/>
      <c r="BQ22" s="449" t="s">
        <v>738</v>
      </c>
      <c r="BR22" s="433"/>
      <c r="BS22" s="434"/>
      <c r="BT22" s="180"/>
      <c r="BV22" s="437"/>
      <c r="BW22" s="449" t="s">
        <v>738</v>
      </c>
      <c r="BX22" s="623"/>
      <c r="BY22" s="623"/>
      <c r="BZ22" s="628"/>
      <c r="CC22" s="473"/>
      <c r="CJ22" s="1" t="s">
        <v>955</v>
      </c>
      <c r="CN22" s="581" t="s">
        <v>964</v>
      </c>
      <c r="CO22" s="75"/>
      <c r="CP22" s="75"/>
      <c r="CQ22" s="986"/>
      <c r="CR22" s="896"/>
      <c r="CS22" s="980"/>
      <c r="CT22" s="980"/>
      <c r="CU22" s="75"/>
      <c r="CW22" s="75"/>
      <c r="CX22" s="76"/>
      <c r="CY22" s="75"/>
      <c r="CZ22" s="76">
        <f>CZ31</f>
        <v>1372242051.072</v>
      </c>
      <c r="DA22" s="75"/>
      <c r="DB22" s="910"/>
      <c r="DC22" s="304"/>
    </row>
    <row r="23" spans="1:109" ht="16.2" thickBot="1" x14ac:dyDescent="0.35">
      <c r="C23" s="141"/>
      <c r="D23" s="94">
        <f>SUM(D14:D21)</f>
        <v>1</v>
      </c>
      <c r="E23" s="371"/>
      <c r="F23" s="1093">
        <v>0.25</v>
      </c>
      <c r="G23" s="432">
        <f>E21*F23</f>
        <v>945515698.74668753</v>
      </c>
      <c r="H23" s="466">
        <v>0.99</v>
      </c>
      <c r="I23" s="432">
        <f>G23*H23</f>
        <v>936060541.7592206</v>
      </c>
      <c r="J23" s="466">
        <v>1</v>
      </c>
      <c r="K23" s="449">
        <f>I23*J23</f>
        <v>936060541.7592206</v>
      </c>
      <c r="L23" s="430">
        <f>H23</f>
        <v>0.99</v>
      </c>
      <c r="M23" s="449">
        <f>K23*L23</f>
        <v>926699936.34162843</v>
      </c>
      <c r="N23" s="430">
        <f>J23</f>
        <v>1</v>
      </c>
      <c r="O23" s="449">
        <f>M23*N23</f>
        <v>926699936.34162843</v>
      </c>
      <c r="P23" s="430">
        <f>L23</f>
        <v>0.99</v>
      </c>
      <c r="Q23" s="449">
        <f>O23*P23</f>
        <v>917432936.97821212</v>
      </c>
      <c r="R23" s="430">
        <f>N23</f>
        <v>1</v>
      </c>
      <c r="S23" s="449">
        <f>Q23*R23</f>
        <v>917432936.97821212</v>
      </c>
      <c r="T23" s="430">
        <f>P23</f>
        <v>0.99</v>
      </c>
      <c r="U23" s="449">
        <f>S23*T23</f>
        <v>908258607.60843003</v>
      </c>
      <c r="V23" s="430">
        <f>R23</f>
        <v>1</v>
      </c>
      <c r="W23" s="449">
        <f>U23*V23</f>
        <v>908258607.60843003</v>
      </c>
      <c r="X23" s="430">
        <f>T23</f>
        <v>0.99</v>
      </c>
      <c r="Y23" s="449">
        <f>W23*X23</f>
        <v>899176021.53234577</v>
      </c>
      <c r="Z23" s="430">
        <f>V23</f>
        <v>1</v>
      </c>
      <c r="AA23" s="449">
        <f>Y23*Z23</f>
        <v>899176021.53234577</v>
      </c>
      <c r="AB23" s="430">
        <f>X23</f>
        <v>0.99</v>
      </c>
      <c r="AC23" s="449">
        <f>AA23*AB23</f>
        <v>890184261.31702232</v>
      </c>
      <c r="AD23" s="430">
        <f>Z23</f>
        <v>1</v>
      </c>
      <c r="AE23" s="449">
        <f>AC23*AD23</f>
        <v>890184261.31702232</v>
      </c>
      <c r="AF23" s="430">
        <f>AB23</f>
        <v>0.99</v>
      </c>
      <c r="AG23" s="449">
        <f>AE23*AF23</f>
        <v>881282418.70385206</v>
      </c>
      <c r="AH23" s="430">
        <f>AD23</f>
        <v>1</v>
      </c>
      <c r="AI23" s="449">
        <f>AG23*AH23</f>
        <v>881282418.70385206</v>
      </c>
      <c r="AJ23" s="430">
        <f>AF23</f>
        <v>0.99</v>
      </c>
      <c r="AK23" s="449">
        <f>AI23*AJ23</f>
        <v>872469594.51681352</v>
      </c>
      <c r="AL23" s="430">
        <f>AH23</f>
        <v>1</v>
      </c>
      <c r="AM23" s="449">
        <f>AK23*AL23</f>
        <v>872469594.51681352</v>
      </c>
      <c r="AN23" s="430">
        <f>AJ23</f>
        <v>0.99</v>
      </c>
      <c r="AO23" s="449">
        <f>AM23*AN23</f>
        <v>863744898.57164538</v>
      </c>
      <c r="AP23" s="430">
        <f>AL23</f>
        <v>1</v>
      </c>
      <c r="AQ23" s="449">
        <f>AO23*AP23</f>
        <v>863744898.57164538</v>
      </c>
      <c r="AR23" s="430">
        <f>AN23</f>
        <v>0.99</v>
      </c>
      <c r="AS23" s="449">
        <f>AQ23*AR23</f>
        <v>855107449.58592892</v>
      </c>
      <c r="AT23" s="430">
        <f>AP23</f>
        <v>1</v>
      </c>
      <c r="AU23" s="449">
        <f>AS23*AT23</f>
        <v>855107449.58592892</v>
      </c>
      <c r="AV23" s="430">
        <f>AR23</f>
        <v>0.99</v>
      </c>
      <c r="AW23" s="449">
        <f>AU23*AV23</f>
        <v>846556375.09006965</v>
      </c>
      <c r="AX23" s="430">
        <f>AT23</f>
        <v>1</v>
      </c>
      <c r="AY23" s="449">
        <f>AW23*AX23</f>
        <v>846556375.09006965</v>
      </c>
      <c r="AZ23" s="430">
        <f>AV23</f>
        <v>0.99</v>
      </c>
      <c r="BA23" s="449">
        <f>AY23*AZ23</f>
        <v>838090811.33916891</v>
      </c>
      <c r="BB23" s="430">
        <f>AX23</f>
        <v>1</v>
      </c>
      <c r="BC23" s="449">
        <f>BA23*BB23</f>
        <v>838090811.33916891</v>
      </c>
      <c r="BD23" s="430">
        <f>AR23</f>
        <v>0.99</v>
      </c>
      <c r="BE23" s="449">
        <f>BC23*BD23</f>
        <v>829709903.22577727</v>
      </c>
      <c r="BF23" s="430">
        <f>AT23</f>
        <v>1</v>
      </c>
      <c r="BG23" s="449">
        <f>BE23*BF23</f>
        <v>829709903.22577727</v>
      </c>
      <c r="BH23" s="430">
        <f>BD23</f>
        <v>0.99</v>
      </c>
      <c r="BI23" s="449">
        <f>BG23*BH23</f>
        <v>821412804.19351947</v>
      </c>
      <c r="BJ23" s="430">
        <f>BF23</f>
        <v>1</v>
      </c>
      <c r="BK23" s="449">
        <f>BI23*BJ23</f>
        <v>821412804.19351947</v>
      </c>
      <c r="BL23" s="430">
        <f>AB23</f>
        <v>0.99</v>
      </c>
      <c r="BM23" s="449">
        <f>BK23*BL23</f>
        <v>813198676.15158427</v>
      </c>
      <c r="BN23" s="430">
        <f>AD23</f>
        <v>1</v>
      </c>
      <c r="BO23" s="449">
        <f>BM23*BN23</f>
        <v>813198676.15158427</v>
      </c>
      <c r="BP23" s="430">
        <f>BL23</f>
        <v>0.99</v>
      </c>
      <c r="BQ23" s="449">
        <f>BO23*BP23</f>
        <v>805066689.39006841</v>
      </c>
      <c r="BR23" s="430">
        <f>BN23</f>
        <v>1</v>
      </c>
      <c r="BS23" s="449">
        <f>BQ23*BR23</f>
        <v>805066689.39006841</v>
      </c>
      <c r="BT23" s="719">
        <f>G23+I23+M23+Q23+U23+Y23+AC23+AG23+AK23+AO23+AS23+AW23+BA23+BE23+BI23+BM23+BQ23</f>
        <v>14849967625.051971</v>
      </c>
      <c r="BV23" s="595">
        <f>BP23</f>
        <v>0.99</v>
      </c>
      <c r="BW23" s="449">
        <f>BS23*BV23</f>
        <v>797016022.49616778</v>
      </c>
      <c r="BX23" s="623"/>
      <c r="BY23" s="624"/>
      <c r="BZ23" s="628"/>
      <c r="CC23" s="473"/>
      <c r="CH23" s="982" t="s">
        <v>989</v>
      </c>
      <c r="CI23" s="983">
        <v>2016</v>
      </c>
      <c r="CJ23" s="910">
        <v>75543543000000</v>
      </c>
      <c r="CK23" s="984">
        <v>2.5000000000000001E-2</v>
      </c>
      <c r="CL23" s="910">
        <f>CJ23*CK23</f>
        <v>1888588575000</v>
      </c>
      <c r="CN23" s="75"/>
      <c r="CO23" s="968">
        <v>2016</v>
      </c>
      <c r="CP23" s="305">
        <f>CP20</f>
        <v>10737418.24</v>
      </c>
      <c r="CQ23" s="986">
        <v>64</v>
      </c>
      <c r="CR23" s="411">
        <f t="shared" ref="CR23:CR35" si="0">CQ23*CP23</f>
        <v>687194767.36000001</v>
      </c>
      <c r="CS23" s="980"/>
      <c r="CT23" s="980"/>
      <c r="CU23" s="305">
        <f t="shared" ref="CU23:CU35" si="1">CR23*CS23</f>
        <v>0</v>
      </c>
      <c r="CW23" s="75"/>
      <c r="CX23" s="76"/>
      <c r="CY23" s="75"/>
      <c r="CZ23" s="953">
        <v>25000</v>
      </c>
      <c r="DA23" s="968" t="s">
        <v>1349</v>
      </c>
      <c r="DB23" s="910"/>
      <c r="DC23" s="981">
        <v>2016</v>
      </c>
    </row>
    <row r="24" spans="1:109"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122"/>
      <c r="BQ24" s="448" t="s">
        <v>294</v>
      </c>
      <c r="BR24" s="122"/>
      <c r="BS24" s="8"/>
      <c r="BT24" s="126"/>
      <c r="BV24" s="122"/>
      <c r="BW24" s="448" t="s">
        <v>294</v>
      </c>
      <c r="BX24" s="623"/>
      <c r="BY24" s="623"/>
      <c r="BZ24" s="628"/>
      <c r="CC24" s="473"/>
      <c r="CH24" s="982" t="s">
        <v>989</v>
      </c>
      <c r="CI24" s="983">
        <f>CI23+1</f>
        <v>2017</v>
      </c>
      <c r="CJ24" s="910">
        <f>CJ23+CL23</f>
        <v>77432131575000</v>
      </c>
      <c r="CK24" s="985">
        <f>CK23</f>
        <v>2.5000000000000001E-2</v>
      </c>
      <c r="CL24" s="910">
        <f>CJ24*CK24</f>
        <v>1935803289375</v>
      </c>
      <c r="CN24" s="75"/>
      <c r="CO24" s="968">
        <f>CO23+1</f>
        <v>2017</v>
      </c>
      <c r="CP24" s="305">
        <f>CP20</f>
        <v>10737418.24</v>
      </c>
      <c r="CQ24" s="986">
        <v>64</v>
      </c>
      <c r="CR24" s="411">
        <f t="shared" si="0"/>
        <v>687194767.36000001</v>
      </c>
      <c r="CS24" s="980"/>
      <c r="CT24" s="980"/>
      <c r="CU24" s="305">
        <f t="shared" si="1"/>
        <v>0</v>
      </c>
      <c r="CW24" s="75"/>
      <c r="CX24" s="76"/>
      <c r="CY24" s="75"/>
      <c r="CZ24" s="76">
        <f>CZ22/CZ23</f>
        <v>54889.682042879998</v>
      </c>
      <c r="DA24" s="75"/>
      <c r="DB24" s="910"/>
      <c r="DC24" s="981">
        <f>DC23+1</f>
        <v>2017</v>
      </c>
    </row>
    <row r="25" spans="1:109" ht="16.2" thickBot="1" x14ac:dyDescent="0.35">
      <c r="C25" s="122"/>
      <c r="D25" s="573" t="s">
        <v>1367</v>
      </c>
      <c r="E25" s="7"/>
      <c r="F25" s="1094">
        <v>0.2</v>
      </c>
      <c r="G25" s="99">
        <f>E21*F25</f>
        <v>756412558.9973501</v>
      </c>
      <c r="H25" s="467">
        <v>0.98</v>
      </c>
      <c r="I25" s="99">
        <f>G25*H25</f>
        <v>741284307.81740308</v>
      </c>
      <c r="J25" s="467">
        <v>1</v>
      </c>
      <c r="K25" s="443">
        <f>I25*J25</f>
        <v>741284307.81740308</v>
      </c>
      <c r="L25" s="153">
        <f>H25</f>
        <v>0.98</v>
      </c>
      <c r="M25" s="443">
        <f>K25*L25</f>
        <v>726458621.66105497</v>
      </c>
      <c r="N25" s="153">
        <f>J25</f>
        <v>1</v>
      </c>
      <c r="O25" s="443">
        <f>M25*N25</f>
        <v>726458621.66105497</v>
      </c>
      <c r="P25" s="153">
        <f>L25</f>
        <v>0.98</v>
      </c>
      <c r="Q25" s="443">
        <f>O25*P25</f>
        <v>711929449.22783387</v>
      </c>
      <c r="R25" s="153">
        <f>N25</f>
        <v>1</v>
      </c>
      <c r="S25" s="443">
        <f>Q25*R25</f>
        <v>711929449.22783387</v>
      </c>
      <c r="T25" s="153">
        <f>P25</f>
        <v>0.98</v>
      </c>
      <c r="U25" s="443">
        <f>S25*T25</f>
        <v>697690860.24327719</v>
      </c>
      <c r="V25" s="153">
        <f>R25</f>
        <v>1</v>
      </c>
      <c r="W25" s="443">
        <f>U25*V25</f>
        <v>697690860.24327719</v>
      </c>
      <c r="X25" s="153">
        <f>T25</f>
        <v>0.98</v>
      </c>
      <c r="Y25" s="443">
        <f>W25*X25</f>
        <v>683737043.03841162</v>
      </c>
      <c r="Z25" s="153">
        <f>V25</f>
        <v>1</v>
      </c>
      <c r="AA25" s="443">
        <f>Y25*Z25</f>
        <v>683737043.03841162</v>
      </c>
      <c r="AB25" s="153">
        <f>X25</f>
        <v>0.98</v>
      </c>
      <c r="AC25" s="443">
        <f>AA25*AB25</f>
        <v>670062302.17764342</v>
      </c>
      <c r="AD25" s="153">
        <f>Z25</f>
        <v>1</v>
      </c>
      <c r="AE25" s="443">
        <f>AC25*AD25</f>
        <v>670062302.17764342</v>
      </c>
      <c r="AF25" s="153">
        <f>AB25</f>
        <v>0.98</v>
      </c>
      <c r="AG25" s="443">
        <f>AE25*AF25</f>
        <v>656661056.13409054</v>
      </c>
      <c r="AH25" s="153">
        <f>AD25</f>
        <v>1</v>
      </c>
      <c r="AI25" s="443">
        <f>AG25*AH25</f>
        <v>656661056.13409054</v>
      </c>
      <c r="AJ25" s="153">
        <f>AF25</f>
        <v>0.98</v>
      </c>
      <c r="AK25" s="443">
        <f>AI25*AJ25</f>
        <v>643527835.01140869</v>
      </c>
      <c r="AL25" s="153">
        <f>AH25</f>
        <v>1</v>
      </c>
      <c r="AM25" s="443">
        <f>AK25*AL25</f>
        <v>643527835.01140869</v>
      </c>
      <c r="AN25" s="153">
        <f>AJ25</f>
        <v>0.98</v>
      </c>
      <c r="AO25" s="443">
        <f>AM25*AN25</f>
        <v>630657278.31118047</v>
      </c>
      <c r="AP25" s="153">
        <f>AL25</f>
        <v>1</v>
      </c>
      <c r="AQ25" s="443">
        <f>AO25*AP25</f>
        <v>630657278.31118047</v>
      </c>
      <c r="AR25" s="153">
        <f>AN25</f>
        <v>0.98</v>
      </c>
      <c r="AS25" s="443">
        <f>AQ25*AR25</f>
        <v>618044132.74495685</v>
      </c>
      <c r="AT25" s="153">
        <f>AP25</f>
        <v>1</v>
      </c>
      <c r="AU25" s="443">
        <f>AS25*AT25</f>
        <v>618044132.74495685</v>
      </c>
      <c r="AV25" s="153">
        <f>AR25</f>
        <v>0.98</v>
      </c>
      <c r="AW25" s="443">
        <f>AU25*AV25</f>
        <v>605683250.09005773</v>
      </c>
      <c r="AX25" s="153">
        <f>AT25</f>
        <v>1</v>
      </c>
      <c r="AY25" s="443">
        <f>AW25*AX25</f>
        <v>605683250.09005773</v>
      </c>
      <c r="AZ25" s="153">
        <f>AV25</f>
        <v>0.98</v>
      </c>
      <c r="BA25" s="443">
        <f>AY25*AZ25</f>
        <v>593569585.0882566</v>
      </c>
      <c r="BB25" s="153">
        <f>AX25</f>
        <v>1</v>
      </c>
      <c r="BC25" s="443">
        <f>BA25*BB25</f>
        <v>593569585.0882566</v>
      </c>
      <c r="BD25" s="153">
        <f>AR25</f>
        <v>0.98</v>
      </c>
      <c r="BE25" s="443">
        <f>BC25*BD25</f>
        <v>581698193.38649142</v>
      </c>
      <c r="BF25" s="153">
        <f>AT25</f>
        <v>1</v>
      </c>
      <c r="BG25" s="443">
        <f>BE25*BF25</f>
        <v>581698193.38649142</v>
      </c>
      <c r="BH25" s="153">
        <f>BD25</f>
        <v>0.98</v>
      </c>
      <c r="BI25" s="443">
        <f>BG25*BH25</f>
        <v>570064229.51876163</v>
      </c>
      <c r="BJ25" s="153">
        <f>BF25</f>
        <v>1</v>
      </c>
      <c r="BK25" s="443">
        <f>BI25*BJ25</f>
        <v>570064229.51876163</v>
      </c>
      <c r="BL25" s="153">
        <f>AB25</f>
        <v>0.98</v>
      </c>
      <c r="BM25" s="443">
        <f>BK25*BL25</f>
        <v>558662944.92838645</v>
      </c>
      <c r="BN25" s="153">
        <f>AD25</f>
        <v>1</v>
      </c>
      <c r="BO25" s="443">
        <f>BM25*BN25</f>
        <v>558662944.92838645</v>
      </c>
      <c r="BP25" s="153">
        <f>BL25</f>
        <v>0.98</v>
      </c>
      <c r="BQ25" s="443">
        <f>BO25*BP25</f>
        <v>547489686.02981865</v>
      </c>
      <c r="BR25" s="153">
        <f>BN25</f>
        <v>1</v>
      </c>
      <c r="BS25" s="443">
        <f>BQ25*BR25</f>
        <v>547489686.02981865</v>
      </c>
      <c r="BT25" s="719">
        <f>G25+I25+M25+Q25+U25+Y25+AC25+AG25+AK25+AO25+AS25+AW25+BA25+BE25+BI25+BM25+BQ25</f>
        <v>10993633334.406384</v>
      </c>
      <c r="BV25" s="596">
        <f>BP25</f>
        <v>0.98</v>
      </c>
      <c r="BW25" s="443">
        <f>BS25*BV25</f>
        <v>536539892.30922228</v>
      </c>
      <c r="BX25" s="623"/>
      <c r="BY25" s="624"/>
      <c r="BZ25" s="628"/>
      <c r="CC25" s="473"/>
      <c r="CH25" s="982" t="s">
        <v>989</v>
      </c>
      <c r="CI25" s="983">
        <f t="shared" ref="CI25:CI35" si="2">CI24+1</f>
        <v>2018</v>
      </c>
      <c r="CJ25" s="910">
        <f t="shared" ref="CJ25:CJ35" si="3">CJ24+CL24</f>
        <v>79367934864375</v>
      </c>
      <c r="CK25" s="985">
        <f t="shared" ref="CK25:CK35" si="4">CK24</f>
        <v>2.5000000000000001E-2</v>
      </c>
      <c r="CL25" s="910">
        <f t="shared" ref="CL25:CL35" si="5">CJ25*CK25</f>
        <v>1984198371609.375</v>
      </c>
      <c r="CN25" s="75"/>
      <c r="CO25" s="968">
        <f t="shared" ref="CO25:CO35" si="6">CO24+1</f>
        <v>2018</v>
      </c>
      <c r="CP25" s="305">
        <f>CP20</f>
        <v>10737418.24</v>
      </c>
      <c r="CQ25" s="986">
        <v>64</v>
      </c>
      <c r="CR25" s="411">
        <f t="shared" si="0"/>
        <v>687194767.36000001</v>
      </c>
      <c r="CS25" s="980">
        <v>2.5000000000000001E-2</v>
      </c>
      <c r="CT25" s="980"/>
      <c r="CU25" s="305">
        <f t="shared" si="1"/>
        <v>17179869.184</v>
      </c>
      <c r="CV25" s="978" t="s">
        <v>1144</v>
      </c>
      <c r="CW25" s="305">
        <f t="shared" ref="CW25:CW55" si="7">CU25</f>
        <v>17179869.184</v>
      </c>
      <c r="CX25" s="691">
        <f t="shared" ref="CX25:CX35" si="8">CW25+CX24-DB25</f>
        <v>17179869.184</v>
      </c>
      <c r="CY25" s="893">
        <v>0.125</v>
      </c>
      <c r="CZ25" s="973">
        <f>CX25*CY25</f>
        <v>2147483.648</v>
      </c>
      <c r="DA25" s="305">
        <f>BT58</f>
        <v>3231496868.6900415</v>
      </c>
      <c r="DB25" s="910">
        <f t="shared" ref="DB25:DB35" si="9">CR25*CT25</f>
        <v>0</v>
      </c>
      <c r="DC25" s="981">
        <f t="shared" ref="DC25:DC55" si="10">DC24+1</f>
        <v>2018</v>
      </c>
    </row>
    <row r="26" spans="1:109"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126"/>
      <c r="BV26" s="122"/>
      <c r="BW26" s="452" t="s">
        <v>733</v>
      </c>
      <c r="BX26" s="623"/>
      <c r="BY26" s="623"/>
      <c r="BZ26" s="628"/>
      <c r="CC26" s="473"/>
      <c r="CH26" s="982" t="s">
        <v>989</v>
      </c>
      <c r="CI26" s="983">
        <f t="shared" si="2"/>
        <v>2019</v>
      </c>
      <c r="CJ26" s="910">
        <f t="shared" si="3"/>
        <v>81352133235984.375</v>
      </c>
      <c r="CK26" s="985">
        <f t="shared" si="4"/>
        <v>2.5000000000000001E-2</v>
      </c>
      <c r="CL26" s="910">
        <f t="shared" si="5"/>
        <v>2033803330899.6094</v>
      </c>
      <c r="CN26" s="75"/>
      <c r="CO26" s="968">
        <f t="shared" si="6"/>
        <v>2019</v>
      </c>
      <c r="CP26" s="305">
        <f>CP20</f>
        <v>10737418.24</v>
      </c>
      <c r="CQ26" s="986">
        <v>64</v>
      </c>
      <c r="CR26" s="411">
        <f t="shared" si="0"/>
        <v>687194767.36000001</v>
      </c>
      <c r="CS26" s="980">
        <v>0.2</v>
      </c>
      <c r="CT26" s="980"/>
      <c r="CU26" s="305">
        <f t="shared" si="1"/>
        <v>137438953.472</v>
      </c>
      <c r="CV26" s="978" t="s">
        <v>1144</v>
      </c>
      <c r="CW26" s="305">
        <f t="shared" si="7"/>
        <v>137438953.472</v>
      </c>
      <c r="CX26" s="691">
        <f t="shared" si="8"/>
        <v>154618822.65600002</v>
      </c>
      <c r="CY26" s="893">
        <f>CY25</f>
        <v>0.125</v>
      </c>
      <c r="CZ26" s="973">
        <f t="shared" ref="CZ26:CZ55" si="11">CX26*CY26</f>
        <v>19327352.832000002</v>
      </c>
      <c r="DA26" s="305">
        <f>DA25</f>
        <v>3231496868.6900415</v>
      </c>
      <c r="DB26" s="910">
        <f t="shared" si="9"/>
        <v>0</v>
      </c>
      <c r="DC26" s="981">
        <f t="shared" si="10"/>
        <v>2019</v>
      </c>
    </row>
    <row r="27" spans="1:109" ht="19.2" thickBot="1" x14ac:dyDescent="0.5">
      <c r="C27" s="122"/>
      <c r="D27" s="574" t="s">
        <v>1369</v>
      </c>
      <c r="E27" s="7"/>
      <c r="F27" s="1096">
        <v>0.25</v>
      </c>
      <c r="G27" s="446">
        <f>E21*F27</f>
        <v>945515698.74668753</v>
      </c>
      <c r="H27" s="447">
        <v>0.25</v>
      </c>
      <c r="I27" s="446">
        <f>G27*H27</f>
        <v>236378924.68667188</v>
      </c>
      <c r="J27" s="447">
        <v>1</v>
      </c>
      <c r="K27" s="439">
        <f>I27*J27</f>
        <v>236378924.68667188</v>
      </c>
      <c r="L27" s="438">
        <f>H27</f>
        <v>0.25</v>
      </c>
      <c r="M27" s="439">
        <f>K27*L27</f>
        <v>59094731.171667971</v>
      </c>
      <c r="N27" s="438">
        <f>J27</f>
        <v>1</v>
      </c>
      <c r="O27" s="439">
        <f>M27*N27</f>
        <v>59094731.171667971</v>
      </c>
      <c r="P27" s="438">
        <f>L27</f>
        <v>0.25</v>
      </c>
      <c r="Q27" s="439">
        <f>O27*P27</f>
        <v>14773682.792916993</v>
      </c>
      <c r="R27" s="438">
        <f>N27</f>
        <v>1</v>
      </c>
      <c r="S27" s="439">
        <f>Q27*R27</f>
        <v>14773682.792916993</v>
      </c>
      <c r="T27" s="438">
        <f>P27</f>
        <v>0.25</v>
      </c>
      <c r="U27" s="439">
        <f>S27*T27</f>
        <v>3693420.6982292482</v>
      </c>
      <c r="V27" s="438">
        <f>R27</f>
        <v>1</v>
      </c>
      <c r="W27" s="439">
        <f>U27*V27</f>
        <v>3693420.6982292482</v>
      </c>
      <c r="X27" s="438">
        <f>T27</f>
        <v>0.25</v>
      </c>
      <c r="Y27" s="439">
        <f>W27*X27</f>
        <v>923355.17455731204</v>
      </c>
      <c r="Z27" s="438">
        <f>V27</f>
        <v>1</v>
      </c>
      <c r="AA27" s="439">
        <f>Y27*Z27</f>
        <v>923355.17455731204</v>
      </c>
      <c r="AB27" s="438">
        <f>X27</f>
        <v>0.25</v>
      </c>
      <c r="AC27" s="439">
        <f>AA27*AB27</f>
        <v>230838.79363932801</v>
      </c>
      <c r="AD27" s="438">
        <f>Z27</f>
        <v>1</v>
      </c>
      <c r="AE27" s="439">
        <f>AC27*AD27</f>
        <v>230838.79363932801</v>
      </c>
      <c r="AF27" s="438">
        <f>AB27</f>
        <v>0.25</v>
      </c>
      <c r="AG27" s="439">
        <f>AE27*AF27</f>
        <v>57709.698409832003</v>
      </c>
      <c r="AH27" s="438">
        <f>AD27</f>
        <v>1</v>
      </c>
      <c r="AI27" s="439">
        <f>AG27*AH27</f>
        <v>57709.698409832003</v>
      </c>
      <c r="AJ27" s="438">
        <f>AF27</f>
        <v>0.25</v>
      </c>
      <c r="AK27" s="439">
        <f>AI27*AJ27</f>
        <v>14427.424602458001</v>
      </c>
      <c r="AL27" s="438">
        <f>AH27</f>
        <v>1</v>
      </c>
      <c r="AM27" s="439">
        <f>AK27*AL27</f>
        <v>14427.424602458001</v>
      </c>
      <c r="AN27" s="438">
        <f>AJ27</f>
        <v>0.25</v>
      </c>
      <c r="AO27" s="439">
        <f>AM27*AN27</f>
        <v>3606.8561506145002</v>
      </c>
      <c r="AP27" s="438">
        <f>AL27</f>
        <v>1</v>
      </c>
      <c r="AQ27" s="439">
        <f>AO27*AP27</f>
        <v>3606.8561506145002</v>
      </c>
      <c r="AR27" s="438">
        <f>AN27</f>
        <v>0.25</v>
      </c>
      <c r="AS27" s="439">
        <f>AQ27*AR27</f>
        <v>901.71403765362504</v>
      </c>
      <c r="AT27" s="438">
        <f>AP27</f>
        <v>1</v>
      </c>
      <c r="AU27" s="439">
        <f>AS27*AT27</f>
        <v>901.71403765362504</v>
      </c>
      <c r="AV27" s="438">
        <f>AR27</f>
        <v>0.25</v>
      </c>
      <c r="AW27" s="439">
        <f>AU27*AV27</f>
        <v>225.42850941340626</v>
      </c>
      <c r="AX27" s="438">
        <f>AT27</f>
        <v>1</v>
      </c>
      <c r="AY27" s="439">
        <f>AW27*AX27</f>
        <v>225.42850941340626</v>
      </c>
      <c r="AZ27" s="438">
        <f>AV27</f>
        <v>0.25</v>
      </c>
      <c r="BA27" s="439">
        <f>AY27*AZ27</f>
        <v>56.357127353351565</v>
      </c>
      <c r="BB27" s="438">
        <f>AX27</f>
        <v>1</v>
      </c>
      <c r="BC27" s="439">
        <f>BA27*BB27</f>
        <v>56.357127353351565</v>
      </c>
      <c r="BD27" s="438">
        <f>AR27</f>
        <v>0.25</v>
      </c>
      <c r="BE27" s="439">
        <f>BC27*BD27</f>
        <v>14.089281838337891</v>
      </c>
      <c r="BF27" s="438">
        <f>AT27</f>
        <v>1</v>
      </c>
      <c r="BG27" s="439">
        <f>BE27*BF27</f>
        <v>14.089281838337891</v>
      </c>
      <c r="BH27" s="438">
        <f>BD27</f>
        <v>0.25</v>
      </c>
      <c r="BI27" s="439">
        <f>BG27*BH27</f>
        <v>3.5223204595844728</v>
      </c>
      <c r="BJ27" s="438">
        <f>BF27</f>
        <v>1</v>
      </c>
      <c r="BK27" s="439">
        <f>BI27*BJ27</f>
        <v>3.5223204595844728</v>
      </c>
      <c r="BL27" s="438">
        <f>AB27</f>
        <v>0.25</v>
      </c>
      <c r="BM27" s="439">
        <f>BK27*BL27</f>
        <v>0.8805801148961182</v>
      </c>
      <c r="BN27" s="438">
        <f>AD27</f>
        <v>1</v>
      </c>
      <c r="BO27" s="439">
        <f>BM27*BN27</f>
        <v>0.8805801148961182</v>
      </c>
      <c r="BP27" s="438">
        <f>BL27</f>
        <v>0.25</v>
      </c>
      <c r="BQ27" s="439">
        <f>BO27*BP27</f>
        <v>0.22014502872402955</v>
      </c>
      <c r="BR27" s="438">
        <f>BN27</f>
        <v>1</v>
      </c>
      <c r="BS27" s="439">
        <f>BQ27*BR27</f>
        <v>0.22014502872402955</v>
      </c>
      <c r="BT27" s="719">
        <f>G27+I27+M27+Q27+U27+Y27+AC27+AG27+AK27+AO27+AS27+AW27+BA27+BE27+BI27+BM27+BQ27</f>
        <v>1260687598.2555354</v>
      </c>
      <c r="BV27" s="597">
        <f>BP27</f>
        <v>0.25</v>
      </c>
      <c r="BW27" s="439">
        <f>BS27*BV27</f>
        <v>5.5036257181007388E-2</v>
      </c>
      <c r="BX27" s="623"/>
      <c r="BY27" s="624"/>
      <c r="BZ27" s="628"/>
      <c r="CC27" s="473"/>
      <c r="CH27" s="982" t="s">
        <v>989</v>
      </c>
      <c r="CI27" s="983">
        <f t="shared" si="2"/>
        <v>2020</v>
      </c>
      <c r="CJ27" s="910">
        <f t="shared" si="3"/>
        <v>83385936566883.984</v>
      </c>
      <c r="CK27" s="985">
        <f t="shared" si="4"/>
        <v>2.5000000000000001E-2</v>
      </c>
      <c r="CL27" s="910">
        <f t="shared" si="5"/>
        <v>2084648414172.0996</v>
      </c>
      <c r="CM27" s="895" t="s">
        <v>1283</v>
      </c>
      <c r="CN27" s="75"/>
      <c r="CO27" s="968">
        <f t="shared" si="6"/>
        <v>2020</v>
      </c>
      <c r="CP27" s="305">
        <f>CP20</f>
        <v>10737418.24</v>
      </c>
      <c r="CQ27" s="986">
        <v>64</v>
      </c>
      <c r="CR27" s="411">
        <f t="shared" si="0"/>
        <v>687194767.36000001</v>
      </c>
      <c r="CS27" s="980">
        <v>1.5</v>
      </c>
      <c r="CT27" s="980"/>
      <c r="CU27" s="305">
        <f t="shared" si="1"/>
        <v>1030792151.04</v>
      </c>
      <c r="CV27" s="978" t="s">
        <v>1144</v>
      </c>
      <c r="CW27" s="305">
        <f t="shared" si="7"/>
        <v>1030792151.04</v>
      </c>
      <c r="CX27" s="691">
        <f t="shared" si="8"/>
        <v>1185410973.6960001</v>
      </c>
      <c r="CY27" s="893">
        <f t="shared" ref="CY27:CY31" si="12">CY26</f>
        <v>0.125</v>
      </c>
      <c r="CZ27" s="973">
        <f t="shared" si="11"/>
        <v>148176371.71200001</v>
      </c>
      <c r="DA27" s="305">
        <f t="shared" ref="DA27:DA55" si="13">DA26</f>
        <v>3231496868.6900415</v>
      </c>
      <c r="DB27" s="910">
        <f t="shared" si="9"/>
        <v>0</v>
      </c>
      <c r="DC27" s="981">
        <f t="shared" si="10"/>
        <v>2020</v>
      </c>
    </row>
    <row r="28" spans="1:109"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437"/>
      <c r="BQ28" s="434"/>
      <c r="BR28" s="142"/>
      <c r="BS28" s="434"/>
      <c r="BT28" s="180"/>
      <c r="BV28" s="122"/>
      <c r="BW28" s="8"/>
      <c r="BX28" s="623"/>
      <c r="BY28" s="624"/>
      <c r="BZ28" s="629">
        <f>BW5</f>
        <v>9768951384.0778503</v>
      </c>
      <c r="CC28" s="473"/>
      <c r="CH28" s="982" t="s">
        <v>989</v>
      </c>
      <c r="CI28" s="983">
        <f t="shared" si="2"/>
        <v>2021</v>
      </c>
      <c r="CJ28" s="910">
        <f t="shared" si="3"/>
        <v>85470584981056.078</v>
      </c>
      <c r="CK28" s="985">
        <f t="shared" si="4"/>
        <v>2.5000000000000001E-2</v>
      </c>
      <c r="CL28" s="910">
        <f t="shared" si="5"/>
        <v>2136764624526.4021</v>
      </c>
      <c r="CN28" s="75"/>
      <c r="CO28" s="968">
        <f t="shared" si="6"/>
        <v>2021</v>
      </c>
      <c r="CP28" s="305">
        <f>CP20</f>
        <v>10737418.24</v>
      </c>
      <c r="CQ28" s="986">
        <v>64</v>
      </c>
      <c r="CR28" s="411">
        <f t="shared" si="0"/>
        <v>687194767.36000001</v>
      </c>
      <c r="CS28" s="980">
        <v>1.25</v>
      </c>
      <c r="CT28" s="980"/>
      <c r="CU28" s="305">
        <f t="shared" si="1"/>
        <v>858993459.20000005</v>
      </c>
      <c r="CV28" s="978" t="s">
        <v>1144</v>
      </c>
      <c r="CW28" s="305">
        <f t="shared" si="7"/>
        <v>858993459.20000005</v>
      </c>
      <c r="CX28" s="691">
        <f t="shared" si="8"/>
        <v>2044404432.8960001</v>
      </c>
      <c r="CY28" s="893">
        <f t="shared" si="12"/>
        <v>0.125</v>
      </c>
      <c r="CZ28" s="973">
        <f t="shared" si="11"/>
        <v>255550554.11200002</v>
      </c>
      <c r="DA28" s="305">
        <f t="shared" si="13"/>
        <v>3231496868.6900415</v>
      </c>
      <c r="DB28" s="910">
        <f t="shared" si="9"/>
        <v>0</v>
      </c>
      <c r="DC28" s="981">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163125245077.17084</v>
      </c>
      <c r="BV29" s="179"/>
      <c r="BW29" s="161">
        <f>SUM(BW10:BW28)</f>
        <v>8599401857.7964439</v>
      </c>
      <c r="BX29" s="691">
        <v>1</v>
      </c>
      <c r="BY29" s="183">
        <f>BW29*BX29</f>
        <v>8599401857.7964439</v>
      </c>
      <c r="BZ29" s="645">
        <f>BY29+BZ28</f>
        <v>18368353241.874294</v>
      </c>
      <c r="CA29" s="253" t="s">
        <v>1383</v>
      </c>
      <c r="CC29" s="473"/>
      <c r="CH29" s="982" t="s">
        <v>989</v>
      </c>
      <c r="CI29" s="983">
        <f>CI28+1</f>
        <v>2022</v>
      </c>
      <c r="CJ29" s="910">
        <f>CJ28+CL28</f>
        <v>87607349605582.484</v>
      </c>
      <c r="CK29" s="985">
        <f>CK28</f>
        <v>2.5000000000000001E-2</v>
      </c>
      <c r="CL29" s="910">
        <f t="shared" si="5"/>
        <v>2190183740139.5623</v>
      </c>
      <c r="CN29" s="75"/>
      <c r="CO29" s="968">
        <f>CO28+1</f>
        <v>2022</v>
      </c>
      <c r="CP29" s="305">
        <f>CP20</f>
        <v>10737418.24</v>
      </c>
      <c r="CQ29" s="986">
        <v>64</v>
      </c>
      <c r="CR29" s="411">
        <f t="shared" si="0"/>
        <v>687194767.36000001</v>
      </c>
      <c r="CS29" s="980">
        <v>2</v>
      </c>
      <c r="CT29" s="980"/>
      <c r="CU29" s="305">
        <f t="shared" si="1"/>
        <v>1374389534.72</v>
      </c>
      <c r="CV29" s="978" t="s">
        <v>1144</v>
      </c>
      <c r="CW29" s="305">
        <f t="shared" si="7"/>
        <v>1374389534.72</v>
      </c>
      <c r="CX29" s="691">
        <f t="shared" si="8"/>
        <v>3418793967.6160002</v>
      </c>
      <c r="CY29" s="893">
        <f t="shared" si="12"/>
        <v>0.125</v>
      </c>
      <c r="CZ29" s="973">
        <f t="shared" si="11"/>
        <v>427349245.95200002</v>
      </c>
      <c r="DA29" s="305">
        <f t="shared" si="13"/>
        <v>3231496868.6900415</v>
      </c>
      <c r="DB29" s="910">
        <f t="shared" si="9"/>
        <v>0</v>
      </c>
      <c r="DC29" s="981">
        <f>DC28+1</f>
        <v>2022</v>
      </c>
    </row>
    <row r="30" spans="1:109" x14ac:dyDescent="0.3">
      <c r="C30" s="158"/>
      <c r="D30" s="10"/>
      <c r="E30" s="10"/>
      <c r="F30" s="10"/>
      <c r="G30" s="159">
        <f>SUM(G10:G29)</f>
        <v>11589098127.55139</v>
      </c>
      <c r="H30" s="599"/>
      <c r="I30" s="172">
        <f>SUM(I10:I29)</f>
        <v>10608160868.225775</v>
      </c>
      <c r="J30" s="158"/>
      <c r="K30" s="11"/>
      <c r="L30" s="160"/>
      <c r="M30" s="161">
        <f>SUM(M10:M29)</f>
        <v>10240845744.503414</v>
      </c>
      <c r="N30" s="158"/>
      <c r="O30" s="11"/>
      <c r="P30" s="598"/>
      <c r="Q30" s="172">
        <f>SUM(Q10:Q29)</f>
        <v>10047992465.927841</v>
      </c>
      <c r="R30" s="158"/>
      <c r="S30" s="11"/>
      <c r="T30" s="160"/>
      <c r="U30" s="161">
        <f>SUM(U10:U29)</f>
        <v>9909735654.5860767</v>
      </c>
      <c r="V30" s="158"/>
      <c r="W30" s="11"/>
      <c r="X30" s="598"/>
      <c r="Y30" s="172">
        <f>SUM(Y10:Y29)</f>
        <v>9791065724.6593685</v>
      </c>
      <c r="Z30" s="158"/>
      <c r="AA30" s="11"/>
      <c r="AB30" s="160"/>
      <c r="AC30" s="161">
        <f>SUM(AC10:AC29)</f>
        <v>9680703147.4223595</v>
      </c>
      <c r="AD30" s="158"/>
      <c r="AE30" s="11"/>
      <c r="AF30" s="598"/>
      <c r="AG30" s="172">
        <f>SUM(AG10:AG29)</f>
        <v>9574559038.8536339</v>
      </c>
      <c r="AH30" s="158"/>
      <c r="AI30" s="11"/>
      <c r="AJ30" s="598"/>
      <c r="AK30" s="172">
        <f>SUM(AK10:AK29)</f>
        <v>9470971316.0442181</v>
      </c>
      <c r="AL30" s="158"/>
      <c r="AM30" s="11"/>
      <c r="AN30" s="598"/>
      <c r="AO30" s="172">
        <f>SUM(AO10:AO29)</f>
        <v>9369199239.8980961</v>
      </c>
      <c r="AP30" s="158"/>
      <c r="AQ30" s="11"/>
      <c r="AR30" s="598"/>
      <c r="AS30" s="172">
        <f>SUM(AS10:AS29)</f>
        <v>9268889801.4717731</v>
      </c>
      <c r="AT30" s="158"/>
      <c r="AU30" s="11"/>
      <c r="AV30" s="598"/>
      <c r="AW30" s="172">
        <f>SUM(AW10:AW29)</f>
        <v>9169865692.7758808</v>
      </c>
      <c r="AX30" s="158"/>
      <c r="AY30" s="11"/>
      <c r="AZ30" s="598"/>
      <c r="BA30" s="172">
        <f>SUM(BA10:BA29)</f>
        <v>9072032985.4874535</v>
      </c>
      <c r="BB30" s="158"/>
      <c r="BC30" s="11"/>
      <c r="BD30" s="598"/>
      <c r="BE30" s="172">
        <f>SUM(BE10:BE29)</f>
        <v>8975338392.5560875</v>
      </c>
      <c r="BF30" s="158"/>
      <c r="BG30" s="11"/>
      <c r="BH30" s="598"/>
      <c r="BI30" s="172">
        <f>SUM(BI10:BI29)</f>
        <v>8879748753.5099258</v>
      </c>
      <c r="BJ30" s="158"/>
      <c r="BK30" s="11"/>
      <c r="BL30" s="598"/>
      <c r="BM30" s="172">
        <f>SUM(BM10:BM29)</f>
        <v>8785240989.6927891</v>
      </c>
      <c r="BN30" s="158"/>
      <c r="BO30" s="11"/>
      <c r="BP30" s="179"/>
      <c r="BQ30" s="161">
        <f>SUM(BQ10:BQ29)</f>
        <v>8691797134.0047798</v>
      </c>
      <c r="BR30" s="158"/>
      <c r="BS30" s="11"/>
      <c r="BT30" s="161">
        <f>G30+I30+M30+Q30+U30+Y30+AC30+BM30+BQ30</f>
        <v>89344639856.573792</v>
      </c>
      <c r="BZ30" s="253" t="s">
        <v>1383</v>
      </c>
      <c r="CC30" s="473"/>
      <c r="CH30" s="982" t="s">
        <v>989</v>
      </c>
      <c r="CI30" s="983">
        <f>CI29+1</f>
        <v>2023</v>
      </c>
      <c r="CJ30" s="910">
        <f>CJ29+CL29</f>
        <v>89797533345722.047</v>
      </c>
      <c r="CK30" s="985">
        <f>CK29</f>
        <v>2.5000000000000001E-2</v>
      </c>
      <c r="CL30" s="910">
        <f t="shared" si="5"/>
        <v>2244938333643.0513</v>
      </c>
      <c r="CN30" s="75"/>
      <c r="CO30" s="968">
        <f>CO29+1</f>
        <v>2023</v>
      </c>
      <c r="CP30" s="305">
        <f>CP20</f>
        <v>10737418.24</v>
      </c>
      <c r="CQ30" s="986">
        <v>64</v>
      </c>
      <c r="CR30" s="411">
        <f t="shared" si="0"/>
        <v>687194767.36000001</v>
      </c>
      <c r="CS30" s="980">
        <v>3</v>
      </c>
      <c r="CT30" s="980"/>
      <c r="CU30" s="305">
        <f t="shared" si="1"/>
        <v>2061584302.0799999</v>
      </c>
      <c r="CV30" s="978" t="s">
        <v>1144</v>
      </c>
      <c r="CW30" s="305">
        <f t="shared" si="7"/>
        <v>2061584302.0799999</v>
      </c>
      <c r="CX30" s="691">
        <f t="shared" si="8"/>
        <v>5480378269.6960001</v>
      </c>
      <c r="CY30" s="893">
        <f t="shared" si="12"/>
        <v>0.125</v>
      </c>
      <c r="CZ30" s="973">
        <f t="shared" si="11"/>
        <v>685047283.71200001</v>
      </c>
      <c r="DA30" s="305">
        <f t="shared" si="13"/>
        <v>3231496868.6900415</v>
      </c>
      <c r="DB30" s="910">
        <f t="shared" si="9"/>
        <v>0</v>
      </c>
      <c r="DC30" s="981">
        <f>DC29+1</f>
        <v>2023</v>
      </c>
    </row>
    <row r="31" spans="1:109" x14ac:dyDescent="0.3">
      <c r="I31" s="30"/>
      <c r="Q31" s="30"/>
      <c r="Y31" s="30"/>
      <c r="BT31" s="999" t="s">
        <v>1355</v>
      </c>
      <c r="BV31" s="77" t="s">
        <v>1382</v>
      </c>
      <c r="BW31" s="567">
        <f>BT34</f>
        <v>14.890715206043703</v>
      </c>
      <c r="BX31" s="76"/>
      <c r="BY31" s="76" t="s">
        <v>957</v>
      </c>
      <c r="CC31" s="473"/>
      <c r="CH31" s="982" t="s">
        <v>989</v>
      </c>
      <c r="CI31" s="983">
        <f t="shared" si="2"/>
        <v>2024</v>
      </c>
      <c r="CJ31" s="910">
        <f t="shared" si="3"/>
        <v>92042471679365.094</v>
      </c>
      <c r="CK31" s="985">
        <f t="shared" si="4"/>
        <v>2.5000000000000001E-2</v>
      </c>
      <c r="CL31" s="910">
        <f t="shared" si="5"/>
        <v>2301061791984.1274</v>
      </c>
      <c r="CM31" s="895" t="s">
        <v>1282</v>
      </c>
      <c r="CN31" s="75"/>
      <c r="CO31" s="968">
        <f t="shared" si="6"/>
        <v>2024</v>
      </c>
      <c r="CP31" s="305">
        <f>CP20</f>
        <v>10737418.24</v>
      </c>
      <c r="CQ31" s="986">
        <v>64</v>
      </c>
      <c r="CR31" s="411">
        <f t="shared" si="0"/>
        <v>687194767.36000001</v>
      </c>
      <c r="CS31" s="980">
        <v>8</v>
      </c>
      <c r="CT31" s="980"/>
      <c r="CU31" s="305">
        <f t="shared" si="1"/>
        <v>5497558138.8800001</v>
      </c>
      <c r="CV31" s="978" t="s">
        <v>1144</v>
      </c>
      <c r="CW31" s="305">
        <f t="shared" si="7"/>
        <v>5497558138.8800001</v>
      </c>
      <c r="CX31" s="691">
        <f t="shared" si="8"/>
        <v>10977936408.576</v>
      </c>
      <c r="CY31" s="893">
        <f t="shared" si="12"/>
        <v>0.125</v>
      </c>
      <c r="CZ31" s="995">
        <f t="shared" si="11"/>
        <v>1372242051.072</v>
      </c>
      <c r="DA31" s="305">
        <f t="shared" si="13"/>
        <v>3231496868.6900415</v>
      </c>
      <c r="DB31" s="910">
        <f t="shared" si="9"/>
        <v>0</v>
      </c>
      <c r="DC31" s="981">
        <f t="shared" si="10"/>
        <v>2024</v>
      </c>
      <c r="DD31" s="1000">
        <v>0.125</v>
      </c>
      <c r="DE31" s="1001">
        <f>CZ31*CY31</f>
        <v>171530256.384</v>
      </c>
    </row>
    <row r="32" spans="1:109" x14ac:dyDescent="0.3">
      <c r="A32" s="690"/>
      <c r="B32" s="690"/>
      <c r="I32" s="690"/>
      <c r="BS32" s="1150" t="s">
        <v>306</v>
      </c>
      <c r="BT32" s="182">
        <f>E8</f>
        <v>23178196255.102779</v>
      </c>
      <c r="BV32" s="736">
        <f>BT47</f>
        <v>23178196255.102779</v>
      </c>
      <c r="BW32" s="568">
        <f>BV32*BT34</f>
        <v>345139919424.52417</v>
      </c>
      <c r="BX32" s="208">
        <f>BU49</f>
        <v>0.66163000000000005</v>
      </c>
      <c r="BY32" s="691">
        <f>BW32*BX32</f>
        <v>228354924888.84793</v>
      </c>
      <c r="CC32" s="473"/>
      <c r="CH32" s="332" t="s">
        <v>989</v>
      </c>
      <c r="CI32" s="953">
        <f>CI31+1</f>
        <v>2025</v>
      </c>
      <c r="CJ32" s="691">
        <f>CJ31+CL31</f>
        <v>94343533471349.219</v>
      </c>
      <c r="CK32" s="894">
        <f>CK31</f>
        <v>2.5000000000000001E-2</v>
      </c>
      <c r="CL32" s="691">
        <f t="shared" si="5"/>
        <v>2358588336783.7305</v>
      </c>
      <c r="CN32" s="332" t="s">
        <v>963</v>
      </c>
      <c r="CO32" s="953">
        <f>CO31+1</f>
        <v>2025</v>
      </c>
      <c r="CP32" s="691">
        <f>CP20</f>
        <v>10737418.24</v>
      </c>
      <c r="CQ32" s="987">
        <v>64</v>
      </c>
      <c r="CR32" s="875">
        <f t="shared" si="0"/>
        <v>687194767.36000001</v>
      </c>
      <c r="CS32" s="977"/>
      <c r="CT32" s="977"/>
      <c r="CU32" s="691">
        <f t="shared" si="1"/>
        <v>0</v>
      </c>
      <c r="CW32" s="691">
        <f t="shared" si="7"/>
        <v>0</v>
      </c>
      <c r="CX32" s="691">
        <f t="shared" si="8"/>
        <v>10977936408.576</v>
      </c>
      <c r="CY32" s="894">
        <f>CY31</f>
        <v>0.125</v>
      </c>
      <c r="CZ32" s="975">
        <f t="shared" si="11"/>
        <v>1372242051.072</v>
      </c>
      <c r="DA32" s="691">
        <f t="shared" si="13"/>
        <v>3231496868.6900415</v>
      </c>
      <c r="DB32" s="183">
        <f t="shared" si="9"/>
        <v>0</v>
      </c>
      <c r="DC32" s="949">
        <f>DC31+1</f>
        <v>2025</v>
      </c>
    </row>
    <row r="33" spans="1:107" x14ac:dyDescent="0.3">
      <c r="I33" s="690"/>
      <c r="J33" s="18"/>
      <c r="K33" s="690"/>
      <c r="BS33" s="122" t="s">
        <v>307</v>
      </c>
      <c r="BT33" s="183">
        <f>BT29+BT5</f>
        <v>345139919424.52417</v>
      </c>
      <c r="BW33" s="248"/>
      <c r="BY33" s="181"/>
      <c r="CC33" s="473"/>
      <c r="CH33" s="332" t="s">
        <v>989</v>
      </c>
      <c r="CI33" s="953">
        <f t="shared" si="2"/>
        <v>2026</v>
      </c>
      <c r="CJ33" s="691">
        <f t="shared" si="3"/>
        <v>96702121808132.953</v>
      </c>
      <c r="CK33" s="894">
        <f t="shared" si="4"/>
        <v>2.5000000000000001E-2</v>
      </c>
      <c r="CL33" s="691">
        <f t="shared" si="5"/>
        <v>2417553045203.3237</v>
      </c>
      <c r="CN33" s="332"/>
      <c r="CO33" s="953">
        <f t="shared" si="6"/>
        <v>2026</v>
      </c>
      <c r="CP33" s="691">
        <f>CP20</f>
        <v>10737418.24</v>
      </c>
      <c r="CQ33" s="987">
        <v>64</v>
      </c>
      <c r="CR33" s="875">
        <f t="shared" si="0"/>
        <v>687194767.36000001</v>
      </c>
      <c r="CS33" s="977"/>
      <c r="CT33" s="977"/>
      <c r="CU33" s="691">
        <f t="shared" si="1"/>
        <v>0</v>
      </c>
      <c r="CW33" s="691">
        <f t="shared" si="7"/>
        <v>0</v>
      </c>
      <c r="CX33" s="691">
        <f t="shared" si="8"/>
        <v>10977936408.576</v>
      </c>
      <c r="CY33" s="894">
        <f>CY32</f>
        <v>0.125</v>
      </c>
      <c r="CZ33" s="975">
        <f t="shared" si="11"/>
        <v>1372242051.072</v>
      </c>
      <c r="DA33" s="691">
        <f t="shared" si="13"/>
        <v>3231496868.6900415</v>
      </c>
      <c r="DB33" s="183">
        <f t="shared" si="9"/>
        <v>0</v>
      </c>
      <c r="DC33" s="949">
        <f t="shared" si="10"/>
        <v>2026</v>
      </c>
    </row>
    <row r="34" spans="1:107" x14ac:dyDescent="0.3">
      <c r="A34" s="690"/>
      <c r="B34" s="690"/>
      <c r="C34" s="900" t="s">
        <v>1036</v>
      </c>
      <c r="D34" s="901" t="s">
        <v>1287</v>
      </c>
      <c r="E34" s="4"/>
      <c r="F34" s="4"/>
      <c r="G34" s="5"/>
      <c r="BS34" s="1150" t="s">
        <v>310</v>
      </c>
      <c r="BT34" s="184">
        <f>BT33/BT32</f>
        <v>14.890715206043703</v>
      </c>
      <c r="BU34" s="239"/>
      <c r="BV34" s="239" t="s">
        <v>974</v>
      </c>
      <c r="BW34" s="248" t="s">
        <v>1384</v>
      </c>
      <c r="BX34" s="239"/>
      <c r="BY34" s="181"/>
      <c r="CC34" s="473"/>
      <c r="CH34" s="332" t="s">
        <v>989</v>
      </c>
      <c r="CI34" s="953">
        <f t="shared" si="2"/>
        <v>2027</v>
      </c>
      <c r="CJ34" s="691">
        <f t="shared" si="3"/>
        <v>99119674853336.281</v>
      </c>
      <c r="CK34" s="894">
        <f t="shared" si="4"/>
        <v>2.5000000000000001E-2</v>
      </c>
      <c r="CL34" s="691">
        <f t="shared" si="5"/>
        <v>2477991871333.4072</v>
      </c>
      <c r="CN34" s="76"/>
      <c r="CO34" s="953">
        <f t="shared" si="6"/>
        <v>2027</v>
      </c>
      <c r="CP34" s="691">
        <f>CP20</f>
        <v>10737418.24</v>
      </c>
      <c r="CQ34" s="987">
        <v>64</v>
      </c>
      <c r="CR34" s="875">
        <f t="shared" si="0"/>
        <v>687194767.36000001</v>
      </c>
      <c r="CS34" s="977"/>
      <c r="CT34" s="977"/>
      <c r="CU34" s="691">
        <f t="shared" si="1"/>
        <v>0</v>
      </c>
      <c r="CW34" s="691">
        <f t="shared" si="7"/>
        <v>0</v>
      </c>
      <c r="CX34" s="691">
        <f t="shared" si="8"/>
        <v>10977936408.576</v>
      </c>
      <c r="CY34" s="894">
        <f t="shared" ref="CY34:CY55" si="14">CY33</f>
        <v>0.125</v>
      </c>
      <c r="CZ34" s="975">
        <f t="shared" si="11"/>
        <v>1372242051.072</v>
      </c>
      <c r="DA34" s="691">
        <f t="shared" si="13"/>
        <v>3231496868.6900415</v>
      </c>
      <c r="DB34" s="183">
        <f t="shared" si="9"/>
        <v>0</v>
      </c>
      <c r="DC34" s="949">
        <f t="shared" si="10"/>
        <v>2027</v>
      </c>
    </row>
    <row r="35" spans="1:107" x14ac:dyDescent="0.3">
      <c r="A35" s="690"/>
      <c r="B35" s="690"/>
      <c r="C35" s="122" t="s">
        <v>732</v>
      </c>
      <c r="D35" s="287" t="s">
        <v>1288</v>
      </c>
      <c r="E35" s="7" t="s">
        <v>1289</v>
      </c>
      <c r="F35" s="7"/>
      <c r="G35" s="8"/>
      <c r="BR35" s="38"/>
      <c r="BS35" s="1150" t="s">
        <v>785</v>
      </c>
      <c r="BT35" s="472"/>
      <c r="BU35" s="473"/>
      <c r="BV35" s="472"/>
      <c r="BW35" s="472">
        <f>BV35-BT35</f>
        <v>0</v>
      </c>
      <c r="BX35" s="473"/>
      <c r="BY35" s="563"/>
      <c r="BZ35" s="473"/>
      <c r="CA35" s="473"/>
      <c r="CB35" s="473"/>
      <c r="CC35" s="473"/>
      <c r="CD35" s="88"/>
      <c r="CE35" s="88"/>
      <c r="CF35" s="88"/>
      <c r="CG35" s="88"/>
      <c r="CH35" s="332" t="s">
        <v>989</v>
      </c>
      <c r="CI35" s="953">
        <f t="shared" si="2"/>
        <v>2028</v>
      </c>
      <c r="CJ35" s="691">
        <f t="shared" si="3"/>
        <v>101597666724669.69</v>
      </c>
      <c r="CK35" s="894">
        <f t="shared" si="4"/>
        <v>2.5000000000000001E-2</v>
      </c>
      <c r="CL35" s="691">
        <f t="shared" si="5"/>
        <v>2539941668116.7422</v>
      </c>
      <c r="CN35" s="76"/>
      <c r="CO35" s="953">
        <f t="shared" si="6"/>
        <v>2028</v>
      </c>
      <c r="CP35" s="691">
        <f>CP20</f>
        <v>10737418.24</v>
      </c>
      <c r="CQ35" s="987">
        <v>64</v>
      </c>
      <c r="CR35" s="875">
        <f t="shared" si="0"/>
        <v>687194767.36000001</v>
      </c>
      <c r="CS35" s="977"/>
      <c r="CT35" s="977"/>
      <c r="CU35" s="691">
        <f t="shared" si="1"/>
        <v>0</v>
      </c>
      <c r="CW35" s="691">
        <f t="shared" si="7"/>
        <v>0</v>
      </c>
      <c r="CX35" s="691">
        <f t="shared" si="8"/>
        <v>10977936408.576</v>
      </c>
      <c r="CY35" s="894">
        <f t="shared" si="14"/>
        <v>0.125</v>
      </c>
      <c r="CZ35" s="975">
        <f t="shared" si="11"/>
        <v>1372242051.072</v>
      </c>
      <c r="DA35" s="691">
        <f t="shared" si="13"/>
        <v>3231496868.6900415</v>
      </c>
      <c r="DB35" s="183">
        <f t="shared" si="9"/>
        <v>0</v>
      </c>
      <c r="DC35" s="949">
        <f t="shared" si="10"/>
        <v>2028</v>
      </c>
    </row>
    <row r="36" spans="1:107" x14ac:dyDescent="0.3">
      <c r="A36" s="690"/>
      <c r="B36" s="690"/>
      <c r="C36" s="1151">
        <v>32</v>
      </c>
      <c r="D36" s="411">
        <f>'POP Dimensions'!J15</f>
        <v>21474836.48</v>
      </c>
      <c r="E36" s="411">
        <f>C36*D36</f>
        <v>687194767.36000001</v>
      </c>
      <c r="F36" s="896"/>
      <c r="G36" s="902" t="s">
        <v>732</v>
      </c>
      <c r="BR36" s="38"/>
      <c r="BS36" s="1206" t="s">
        <v>1445</v>
      </c>
      <c r="BT36" s="1207">
        <f>'POP Dimensions'!L16*150%</f>
        <v>515396075.51999998</v>
      </c>
      <c r="BU36" s="88"/>
      <c r="BV36" s="511"/>
      <c r="BW36" s="511"/>
      <c r="BX36" s="88"/>
      <c r="BY36" s="181"/>
      <c r="BZ36" s="88"/>
      <c r="CA36" s="88"/>
      <c r="CB36" s="616">
        <f>BY47*CD47</f>
        <v>920424716793.65088</v>
      </c>
      <c r="CC36" s="617" t="s">
        <v>778</v>
      </c>
      <c r="CD36" s="88"/>
      <c r="CE36" s="88"/>
      <c r="CF36" s="88"/>
      <c r="CG36" s="88"/>
      <c r="CH36" s="332" t="s">
        <v>989</v>
      </c>
      <c r="CI36" s="953">
        <f>CI35+1</f>
        <v>2029</v>
      </c>
      <c r="CJ36" s="691">
        <f>CJ35+CL35</f>
        <v>104137608392786.44</v>
      </c>
      <c r="CK36" s="894">
        <f>CK35</f>
        <v>2.5000000000000001E-2</v>
      </c>
      <c r="CL36" s="691">
        <f>CJ36*CK36</f>
        <v>2603440209819.6611</v>
      </c>
      <c r="CN36" s="76"/>
      <c r="CO36" s="953">
        <f>CO35+1</f>
        <v>2029</v>
      </c>
      <c r="CP36" s="691">
        <f>CP20</f>
        <v>10737418.24</v>
      </c>
      <c r="CQ36" s="987">
        <v>64</v>
      </c>
      <c r="CR36" s="875">
        <f>CQ36*CP36</f>
        <v>687194767.36000001</v>
      </c>
      <c r="CS36" s="977"/>
      <c r="CT36" s="977"/>
      <c r="CU36" s="691">
        <f>CR36*CS36</f>
        <v>0</v>
      </c>
      <c r="CW36" s="691">
        <f t="shared" si="7"/>
        <v>0</v>
      </c>
      <c r="CX36" s="691">
        <f>CW36+CX35-DB36</f>
        <v>10977936408.576</v>
      </c>
      <c r="CY36" s="894">
        <f t="shared" si="14"/>
        <v>0.125</v>
      </c>
      <c r="CZ36" s="975">
        <f t="shared" si="11"/>
        <v>1372242051.072</v>
      </c>
      <c r="DA36" s="691">
        <f t="shared" si="13"/>
        <v>3231496868.6900415</v>
      </c>
      <c r="DB36" s="183">
        <f>CR36*CT36</f>
        <v>0</v>
      </c>
      <c r="DC36" s="949">
        <f t="shared" si="10"/>
        <v>2029</v>
      </c>
    </row>
    <row r="37" spans="1:107" x14ac:dyDescent="0.3">
      <c r="A37" s="690"/>
      <c r="B37" s="690"/>
      <c r="C37" s="1152">
        <f>C36*2</f>
        <v>64</v>
      </c>
      <c r="D37" s="897">
        <f>D36</f>
        <v>21474836.48</v>
      </c>
      <c r="E37" s="897">
        <f t="shared" ref="E37:E43" si="15">C37*D37</f>
        <v>1374389534.72</v>
      </c>
      <c r="F37" s="874"/>
      <c r="G37" s="903" t="s">
        <v>732</v>
      </c>
      <c r="BR37" s="38"/>
      <c r="BS37" s="1206" t="s">
        <v>1444</v>
      </c>
      <c r="BT37" s="1207">
        <f>'POP Dimensions'!H17*150%</f>
        <v>1030792151.04</v>
      </c>
      <c r="BU37" s="88"/>
      <c r="BV37" s="511"/>
      <c r="BW37" s="511"/>
      <c r="BX37" s="88"/>
      <c r="BY37" s="181"/>
      <c r="BZ37" s="88"/>
      <c r="CA37" s="88"/>
      <c r="CB37" s="616"/>
      <c r="CC37" s="617"/>
      <c r="CD37" s="88"/>
      <c r="CE37" s="88"/>
      <c r="CF37" s="88"/>
      <c r="CG37" s="88"/>
      <c r="CH37" s="332" t="s">
        <v>989</v>
      </c>
      <c r="CI37" s="953">
        <f>CI36+1</f>
        <v>2030</v>
      </c>
      <c r="CJ37" s="691">
        <f>CJ36+CL36</f>
        <v>106741048602606.09</v>
      </c>
      <c r="CK37" s="894">
        <f>CK36</f>
        <v>2.5000000000000001E-2</v>
      </c>
      <c r="CL37" s="691">
        <f>CJ37*CK37</f>
        <v>2668526215065.1523</v>
      </c>
      <c r="CN37" s="76"/>
      <c r="CO37" s="953">
        <f>CO36+1</f>
        <v>2030</v>
      </c>
      <c r="CP37" s="691">
        <f>CP20</f>
        <v>10737418.24</v>
      </c>
      <c r="CQ37" s="987">
        <v>64</v>
      </c>
      <c r="CR37" s="875">
        <f t="shared" ref="CR37:CR55" si="16">CQ37*CP37</f>
        <v>687194767.36000001</v>
      </c>
      <c r="CS37" s="977"/>
      <c r="CT37" s="977"/>
      <c r="CU37" s="691">
        <f t="shared" ref="CU37:CU55" si="17">CR37*CS37</f>
        <v>0</v>
      </c>
      <c r="CW37" s="691">
        <f t="shared" si="7"/>
        <v>0</v>
      </c>
      <c r="CX37" s="691">
        <f>CW37+CX36-DB37</f>
        <v>10977936408.576</v>
      </c>
      <c r="CY37" s="894">
        <f t="shared" si="14"/>
        <v>0.125</v>
      </c>
      <c r="CZ37" s="975">
        <f t="shared" si="11"/>
        <v>1372242051.072</v>
      </c>
      <c r="DA37" s="691">
        <f t="shared" si="13"/>
        <v>3231496868.6900415</v>
      </c>
      <c r="DB37" s="183">
        <f>CR37*CT37</f>
        <v>0</v>
      </c>
      <c r="DC37" s="949">
        <f t="shared" si="10"/>
        <v>2030</v>
      </c>
    </row>
    <row r="38" spans="1:107" x14ac:dyDescent="0.3">
      <c r="A38" s="690"/>
      <c r="B38" s="690"/>
      <c r="C38" s="1121">
        <f>C37*2</f>
        <v>128</v>
      </c>
      <c r="D38" s="875">
        <f t="shared" ref="D38:D43" si="18">D37</f>
        <v>21474836.48</v>
      </c>
      <c r="E38" s="875">
        <f t="shared" si="15"/>
        <v>2748779069.4400001</v>
      </c>
      <c r="F38" s="410"/>
      <c r="G38" s="126" t="s">
        <v>732</v>
      </c>
      <c r="BO38" s="1162" t="s">
        <v>1435</v>
      </c>
      <c r="BP38" s="1160"/>
      <c r="BQ38" s="1160"/>
      <c r="BR38" s="1160"/>
      <c r="BS38" s="1161" t="s">
        <v>1284</v>
      </c>
      <c r="BT38" s="1164">
        <f>'POP Dimensions'!L16*150%</f>
        <v>515396075.51999998</v>
      </c>
      <c r="BU38" s="88"/>
      <c r="BV38" s="88"/>
      <c r="BW38" s="253"/>
      <c r="BX38" s="88"/>
      <c r="BY38" s="181"/>
      <c r="CH38" s="332" t="s">
        <v>989</v>
      </c>
      <c r="CI38" s="953">
        <f>CI37+1</f>
        <v>2031</v>
      </c>
      <c r="CJ38" s="691">
        <f>CJ37+CL37</f>
        <v>109409574817671.25</v>
      </c>
      <c r="CK38" s="894">
        <f>CK37</f>
        <v>2.5000000000000001E-2</v>
      </c>
      <c r="CL38" s="691">
        <f>CJ38*CK38</f>
        <v>2735239370441.7813</v>
      </c>
      <c r="CN38" s="76"/>
      <c r="CO38" s="953">
        <f t="shared" ref="CO38:CO55" si="19">CO37+1</f>
        <v>2031</v>
      </c>
      <c r="CP38" s="691">
        <f>CP20</f>
        <v>10737418.24</v>
      </c>
      <c r="CQ38" s="987">
        <v>64</v>
      </c>
      <c r="CR38" s="875">
        <f t="shared" si="16"/>
        <v>687194767.36000001</v>
      </c>
      <c r="CS38" s="977"/>
      <c r="CT38" s="977"/>
      <c r="CU38" s="691">
        <f t="shared" si="17"/>
        <v>0</v>
      </c>
      <c r="CW38" s="691">
        <f t="shared" si="7"/>
        <v>0</v>
      </c>
      <c r="CX38" s="691">
        <f t="shared" ref="CX38:CX55" si="20">CW38+CX37-DB38</f>
        <v>10977936408.576</v>
      </c>
      <c r="CY38" s="894">
        <f t="shared" si="14"/>
        <v>0.125</v>
      </c>
      <c r="CZ38" s="975">
        <f t="shared" si="11"/>
        <v>1372242051.072</v>
      </c>
      <c r="DA38" s="691">
        <f t="shared" si="13"/>
        <v>3231496868.6900415</v>
      </c>
      <c r="DB38" s="183">
        <f t="shared" ref="DB38:DB55" si="21">CR38*CT38</f>
        <v>0</v>
      </c>
      <c r="DC38" s="949">
        <f t="shared" si="10"/>
        <v>2031</v>
      </c>
    </row>
    <row r="39" spans="1:107" x14ac:dyDescent="0.3">
      <c r="A39" s="690"/>
      <c r="B39" s="690"/>
      <c r="C39" s="1151">
        <f>C38*2</f>
        <v>256</v>
      </c>
      <c r="D39" s="411">
        <f t="shared" si="18"/>
        <v>21474836.48</v>
      </c>
      <c r="E39" s="411">
        <f t="shared" si="15"/>
        <v>5497558138.8800001</v>
      </c>
      <c r="F39" s="896"/>
      <c r="G39" s="902" t="s">
        <v>732</v>
      </c>
      <c r="BO39" s="1163" t="s">
        <v>1436</v>
      </c>
      <c r="BS39" s="1155" t="s">
        <v>1279</v>
      </c>
      <c r="BT39" s="1164">
        <v>-11500000000</v>
      </c>
      <c r="BU39" s="208">
        <v>0.05</v>
      </c>
      <c r="BV39" s="76">
        <f>BT49*BU39</f>
        <v>11417746244.442398</v>
      </c>
      <c r="BW39" s="253" t="s">
        <v>1465</v>
      </c>
      <c r="BX39" s="88"/>
      <c r="BY39" s="181"/>
      <c r="CB39" s="616"/>
      <c r="CC39" s="617"/>
      <c r="CH39" s="332" t="s">
        <v>989</v>
      </c>
      <c r="CI39" s="953">
        <f>CI38+1</f>
        <v>2032</v>
      </c>
      <c r="CJ39" s="691">
        <f>CJ38+CL38</f>
        <v>112144814188113.03</v>
      </c>
      <c r="CK39" s="894">
        <f>CK38</f>
        <v>2.5000000000000001E-2</v>
      </c>
      <c r="CL39" s="691">
        <f>CJ39*CK39</f>
        <v>2803620354702.8262</v>
      </c>
      <c r="CM39" s="895" t="s">
        <v>1281</v>
      </c>
      <c r="CN39" s="76"/>
      <c r="CO39" s="953">
        <f t="shared" si="19"/>
        <v>2032</v>
      </c>
      <c r="CP39" s="691">
        <f t="shared" ref="CP39:CP55" si="22">CP29</f>
        <v>10737418.24</v>
      </c>
      <c r="CQ39" s="987">
        <v>64</v>
      </c>
      <c r="CR39" s="875">
        <f t="shared" si="16"/>
        <v>687194767.36000001</v>
      </c>
      <c r="CS39" s="977"/>
      <c r="CT39" s="977"/>
      <c r="CU39" s="691">
        <f t="shared" si="17"/>
        <v>0</v>
      </c>
      <c r="CW39" s="691">
        <f t="shared" si="7"/>
        <v>0</v>
      </c>
      <c r="CX39" s="691">
        <f t="shared" si="20"/>
        <v>10977936408.576</v>
      </c>
      <c r="CY39" s="894">
        <f t="shared" si="14"/>
        <v>0.125</v>
      </c>
      <c r="CZ39" s="975">
        <f t="shared" si="11"/>
        <v>1372242051.072</v>
      </c>
      <c r="DA39" s="691">
        <f t="shared" si="13"/>
        <v>3231496868.6900415</v>
      </c>
      <c r="DB39" s="183">
        <f t="shared" si="21"/>
        <v>0</v>
      </c>
      <c r="DC39" s="949">
        <f t="shared" si="10"/>
        <v>2032</v>
      </c>
    </row>
    <row r="40" spans="1:107" x14ac:dyDescent="0.3">
      <c r="A40" s="690"/>
      <c r="B40" s="690"/>
      <c r="C40" s="1152">
        <f t="shared" ref="C40:C43" si="23">C39*2</f>
        <v>512</v>
      </c>
      <c r="D40" s="897">
        <f t="shared" si="18"/>
        <v>21474836.48</v>
      </c>
      <c r="E40" s="897">
        <f t="shared" si="15"/>
        <v>10995116277.76</v>
      </c>
      <c r="F40" s="874"/>
      <c r="G40" s="903" t="s">
        <v>732</v>
      </c>
      <c r="BS40" s="1156" t="s">
        <v>1277</v>
      </c>
      <c r="BT40" s="1164">
        <f>'POP Dimensions'!J17</f>
        <v>1374389534.72</v>
      </c>
      <c r="BU40" s="88"/>
      <c r="BV40" s="253"/>
      <c r="BW40" s="253"/>
      <c r="BX40" s="253"/>
      <c r="BY40" s="181"/>
      <c r="CB40" s="616"/>
      <c r="CC40" s="617"/>
      <c r="CH40" s="332" t="s">
        <v>989</v>
      </c>
      <c r="CI40" s="953">
        <f t="shared" ref="CI40:CI55" si="24">CI39+1</f>
        <v>2033</v>
      </c>
      <c r="CJ40" s="691">
        <f t="shared" ref="CJ40:CJ55" si="25">CJ39+CL39</f>
        <v>114948434542815.86</v>
      </c>
      <c r="CK40" s="894">
        <f t="shared" ref="CK40:CK55" si="26">CK39</f>
        <v>2.5000000000000001E-2</v>
      </c>
      <c r="CL40" s="691">
        <f t="shared" ref="CL40:CL55" si="27">CJ40*CK40</f>
        <v>2873710863570.3965</v>
      </c>
      <c r="CN40" s="76"/>
      <c r="CO40" s="953">
        <f t="shared" si="19"/>
        <v>2033</v>
      </c>
      <c r="CP40" s="691">
        <f t="shared" si="22"/>
        <v>10737418.24</v>
      </c>
      <c r="CQ40" s="987">
        <v>64</v>
      </c>
      <c r="CR40" s="875">
        <f t="shared" si="16"/>
        <v>687194767.36000001</v>
      </c>
      <c r="CS40" s="969"/>
      <c r="CT40" s="977"/>
      <c r="CU40" s="691">
        <f t="shared" si="17"/>
        <v>0</v>
      </c>
      <c r="CW40" s="691">
        <f t="shared" si="7"/>
        <v>0</v>
      </c>
      <c r="CX40" s="691">
        <f t="shared" si="20"/>
        <v>10977936408.576</v>
      </c>
      <c r="CY40" s="894">
        <f t="shared" si="14"/>
        <v>0.125</v>
      </c>
      <c r="CZ40" s="975">
        <f t="shared" si="11"/>
        <v>1372242051.072</v>
      </c>
      <c r="DA40" s="691">
        <f t="shared" si="13"/>
        <v>3231496868.6900415</v>
      </c>
      <c r="DB40" s="183">
        <f t="shared" si="21"/>
        <v>0</v>
      </c>
      <c r="DC40" s="949">
        <f t="shared" si="10"/>
        <v>2033</v>
      </c>
    </row>
    <row r="41" spans="1:107" x14ac:dyDescent="0.3">
      <c r="A41" s="690"/>
      <c r="B41" s="690"/>
      <c r="C41" s="1121">
        <f t="shared" si="23"/>
        <v>1024</v>
      </c>
      <c r="D41" s="875">
        <f t="shared" si="18"/>
        <v>21474836.48</v>
      </c>
      <c r="E41" s="875">
        <f t="shared" si="15"/>
        <v>21990232555.52</v>
      </c>
      <c r="F41" s="410"/>
      <c r="G41" s="126" t="s">
        <v>732</v>
      </c>
      <c r="BQ41" s="173" t="s">
        <v>1433</v>
      </c>
      <c r="BR41" s="1158"/>
      <c r="BS41" s="1159" t="s">
        <v>1285</v>
      </c>
      <c r="BT41" s="719">
        <f>'POP Dimensions'!H17*125%</f>
        <v>858993459.20000005</v>
      </c>
      <c r="BU41" s="88"/>
      <c r="BV41" s="253"/>
      <c r="BW41" s="253"/>
      <c r="BX41" s="1215"/>
      <c r="BY41" s="181"/>
      <c r="CB41" s="12" t="s">
        <v>979</v>
      </c>
      <c r="CH41" s="332" t="s">
        <v>989</v>
      </c>
      <c r="CI41" s="953">
        <f t="shared" si="24"/>
        <v>2034</v>
      </c>
      <c r="CJ41" s="691">
        <f t="shared" si="25"/>
        <v>117822145406386.25</v>
      </c>
      <c r="CK41" s="894">
        <f t="shared" si="26"/>
        <v>2.5000000000000001E-2</v>
      </c>
      <c r="CL41" s="691">
        <f t="shared" si="27"/>
        <v>2945553635159.6563</v>
      </c>
      <c r="CN41" s="76"/>
      <c r="CO41" s="953">
        <f t="shared" si="19"/>
        <v>2034</v>
      </c>
      <c r="CP41" s="691">
        <f t="shared" si="22"/>
        <v>10737418.24</v>
      </c>
      <c r="CQ41" s="987">
        <v>64</v>
      </c>
      <c r="CR41" s="875">
        <f t="shared" si="16"/>
        <v>687194767.36000001</v>
      </c>
      <c r="CS41" s="969"/>
      <c r="CT41" s="977"/>
      <c r="CU41" s="691">
        <f t="shared" si="17"/>
        <v>0</v>
      </c>
      <c r="CW41" s="691">
        <f t="shared" si="7"/>
        <v>0</v>
      </c>
      <c r="CX41" s="691">
        <f t="shared" si="20"/>
        <v>10977936408.576</v>
      </c>
      <c r="CY41" s="894">
        <f t="shared" si="14"/>
        <v>0.125</v>
      </c>
      <c r="CZ41" s="975">
        <f t="shared" si="11"/>
        <v>1372242051.072</v>
      </c>
      <c r="DA41" s="691">
        <f t="shared" si="13"/>
        <v>3231496868.6900415</v>
      </c>
      <c r="DB41" s="183">
        <f t="shared" si="21"/>
        <v>0</v>
      </c>
      <c r="DC41" s="949">
        <f t="shared" si="10"/>
        <v>2034</v>
      </c>
    </row>
    <row r="42" spans="1:107" x14ac:dyDescent="0.3">
      <c r="A42" s="690"/>
      <c r="B42" s="690"/>
      <c r="C42" s="1153">
        <f t="shared" si="23"/>
        <v>2048</v>
      </c>
      <c r="D42" s="899">
        <f t="shared" si="18"/>
        <v>21474836.48</v>
      </c>
      <c r="E42" s="899">
        <f t="shared" si="15"/>
        <v>43980465111.040001</v>
      </c>
      <c r="F42" s="898"/>
      <c r="G42" s="905" t="s">
        <v>732</v>
      </c>
      <c r="BQ42" s="618" t="s">
        <v>1434</v>
      </c>
      <c r="BS42" s="1155" t="s">
        <v>1278</v>
      </c>
      <c r="BT42" s="1164">
        <f>'Network Cities'!S37*4</f>
        <v>11775000002</v>
      </c>
      <c r="BU42" s="88"/>
      <c r="BV42" s="253"/>
      <c r="BW42" s="253"/>
      <c r="BX42" s="1215"/>
      <c r="BY42" s="181"/>
      <c r="CB42" s="12"/>
      <c r="CH42" s="332" t="s">
        <v>989</v>
      </c>
      <c r="CI42" s="953">
        <f t="shared" si="24"/>
        <v>2035</v>
      </c>
      <c r="CJ42" s="691">
        <f t="shared" si="25"/>
        <v>120767699041545.91</v>
      </c>
      <c r="CK42" s="894">
        <f t="shared" si="26"/>
        <v>2.5000000000000001E-2</v>
      </c>
      <c r="CL42" s="691">
        <f t="shared" si="27"/>
        <v>3019192476038.6479</v>
      </c>
      <c r="CN42" s="76"/>
      <c r="CO42" s="953">
        <f t="shared" si="19"/>
        <v>2035</v>
      </c>
      <c r="CP42" s="691">
        <f t="shared" si="22"/>
        <v>10737418.24</v>
      </c>
      <c r="CQ42" s="987">
        <v>64</v>
      </c>
      <c r="CR42" s="875">
        <f t="shared" si="16"/>
        <v>687194767.36000001</v>
      </c>
      <c r="CS42" s="969"/>
      <c r="CT42" s="977"/>
      <c r="CU42" s="691">
        <f t="shared" si="17"/>
        <v>0</v>
      </c>
      <c r="CW42" s="691">
        <f t="shared" si="7"/>
        <v>0</v>
      </c>
      <c r="CX42" s="691">
        <f t="shared" si="20"/>
        <v>10977936408.576</v>
      </c>
      <c r="CY42" s="894">
        <f t="shared" si="14"/>
        <v>0.125</v>
      </c>
      <c r="CZ42" s="975">
        <f t="shared" si="11"/>
        <v>1372242051.072</v>
      </c>
      <c r="DA42" s="691">
        <f t="shared" si="13"/>
        <v>3231496868.6900415</v>
      </c>
      <c r="DB42" s="183">
        <f t="shared" si="21"/>
        <v>0</v>
      </c>
      <c r="DC42" s="949">
        <f t="shared" si="10"/>
        <v>2035</v>
      </c>
    </row>
    <row r="43" spans="1:107" x14ac:dyDescent="0.3">
      <c r="A43" s="690"/>
      <c r="B43" s="690"/>
      <c r="C43" s="1154">
        <f t="shared" si="23"/>
        <v>4096</v>
      </c>
      <c r="D43" s="906">
        <f t="shared" si="18"/>
        <v>21474836.48</v>
      </c>
      <c r="E43" s="906">
        <f t="shared" si="15"/>
        <v>87960930222.080002</v>
      </c>
      <c r="F43" s="907"/>
      <c r="G43" s="908" t="s">
        <v>732</v>
      </c>
      <c r="BS43" s="1155" t="s">
        <v>1161</v>
      </c>
      <c r="BT43" s="1164">
        <f>'POP Dimensions'!H17*200%</f>
        <v>1374389534.72</v>
      </c>
      <c r="BU43" s="88"/>
      <c r="BV43" s="600"/>
      <c r="BW43" s="253"/>
      <c r="BX43" s="253"/>
      <c r="BY43" s="181"/>
      <c r="CB43" s="12"/>
      <c r="CH43" s="332" t="s">
        <v>989</v>
      </c>
      <c r="CI43" s="953">
        <f t="shared" si="24"/>
        <v>2036</v>
      </c>
      <c r="CJ43" s="691">
        <f t="shared" si="25"/>
        <v>123786891517584.55</v>
      </c>
      <c r="CK43" s="894">
        <f t="shared" si="26"/>
        <v>2.5000000000000001E-2</v>
      </c>
      <c r="CL43" s="691">
        <f t="shared" si="27"/>
        <v>3094672287939.6138</v>
      </c>
      <c r="CN43" s="76"/>
      <c r="CO43" s="953">
        <f t="shared" si="19"/>
        <v>2036</v>
      </c>
      <c r="CP43" s="691">
        <f t="shared" si="22"/>
        <v>10737418.24</v>
      </c>
      <c r="CQ43" s="987">
        <v>64</v>
      </c>
      <c r="CR43" s="875">
        <f t="shared" si="16"/>
        <v>687194767.36000001</v>
      </c>
      <c r="CS43" s="969"/>
      <c r="CT43" s="977"/>
      <c r="CU43" s="691">
        <f t="shared" si="17"/>
        <v>0</v>
      </c>
      <c r="CW43" s="691">
        <f t="shared" si="7"/>
        <v>0</v>
      </c>
      <c r="CX43" s="691">
        <f t="shared" si="20"/>
        <v>10977936408.576</v>
      </c>
      <c r="CY43" s="894">
        <f t="shared" si="14"/>
        <v>0.125</v>
      </c>
      <c r="CZ43" s="975">
        <f t="shared" si="11"/>
        <v>1372242051.072</v>
      </c>
      <c r="DA43" s="691">
        <f t="shared" si="13"/>
        <v>3231496868.6900415</v>
      </c>
      <c r="DB43" s="183">
        <f t="shared" si="21"/>
        <v>0</v>
      </c>
      <c r="DC43" s="949">
        <f t="shared" si="10"/>
        <v>2036</v>
      </c>
    </row>
    <row r="44" spans="1:107" x14ac:dyDescent="0.3">
      <c r="A44" s="690"/>
      <c r="B44" s="690"/>
      <c r="BQ44" s="1162" t="s">
        <v>1433</v>
      </c>
      <c r="BR44" s="1160"/>
      <c r="BS44" s="1161" t="s">
        <v>1249</v>
      </c>
      <c r="BT44" s="1164">
        <f>'POP Dimensions'!J17*150%</f>
        <v>2061584302.0799999</v>
      </c>
      <c r="BU44" s="88"/>
      <c r="BV44" s="253"/>
      <c r="BW44" s="254"/>
      <c r="BX44" s="253"/>
      <c r="BY44" s="181"/>
      <c r="CB44" s="12"/>
      <c r="CH44" s="332" t="s">
        <v>989</v>
      </c>
      <c r="CI44" s="953">
        <f t="shared" si="24"/>
        <v>2037</v>
      </c>
      <c r="CJ44" s="691">
        <f t="shared" si="25"/>
        <v>126881563805524.16</v>
      </c>
      <c r="CK44" s="894">
        <f t="shared" si="26"/>
        <v>2.5000000000000001E-2</v>
      </c>
      <c r="CL44" s="691">
        <f t="shared" si="27"/>
        <v>3172039095138.104</v>
      </c>
      <c r="CN44" s="76"/>
      <c r="CO44" s="953">
        <f t="shared" si="19"/>
        <v>2037</v>
      </c>
      <c r="CP44" s="691">
        <f t="shared" si="22"/>
        <v>10737418.24</v>
      </c>
      <c r="CQ44" s="987">
        <v>64</v>
      </c>
      <c r="CR44" s="875">
        <f t="shared" si="16"/>
        <v>687194767.36000001</v>
      </c>
      <c r="CS44" s="969"/>
      <c r="CT44" s="977"/>
      <c r="CU44" s="691">
        <f t="shared" si="17"/>
        <v>0</v>
      </c>
      <c r="CW44" s="691">
        <f t="shared" si="7"/>
        <v>0</v>
      </c>
      <c r="CX44" s="691">
        <f t="shared" si="20"/>
        <v>10977936408.576</v>
      </c>
      <c r="CY44" s="894">
        <f t="shared" si="14"/>
        <v>0.125</v>
      </c>
      <c r="CZ44" s="975">
        <f t="shared" si="11"/>
        <v>1372242051.072</v>
      </c>
      <c r="DA44" s="691">
        <f t="shared" si="13"/>
        <v>3231496868.6900415</v>
      </c>
      <c r="DB44" s="183">
        <f t="shared" si="21"/>
        <v>0</v>
      </c>
      <c r="DC44" s="949">
        <f t="shared" si="10"/>
        <v>2037</v>
      </c>
    </row>
    <row r="45" spans="1:107" x14ac:dyDescent="0.3">
      <c r="A45" s="690"/>
      <c r="B45" s="690"/>
      <c r="BQ45" s="1163" t="s">
        <v>1437</v>
      </c>
      <c r="BS45" s="1157" t="s">
        <v>148</v>
      </c>
      <c r="BT45" s="1164">
        <v>0</v>
      </c>
      <c r="BU45" s="88"/>
      <c r="BV45" s="254"/>
      <c r="BW45" s="254"/>
      <c r="BX45" s="253"/>
      <c r="BY45" s="181"/>
      <c r="CB45" s="12"/>
      <c r="CH45" s="332" t="s">
        <v>989</v>
      </c>
      <c r="CI45" s="953">
        <f t="shared" si="24"/>
        <v>2038</v>
      </c>
      <c r="CJ45" s="691">
        <f t="shared" si="25"/>
        <v>130053602900662.27</v>
      </c>
      <c r="CK45" s="894">
        <f t="shared" si="26"/>
        <v>2.5000000000000001E-2</v>
      </c>
      <c r="CL45" s="691">
        <f t="shared" si="27"/>
        <v>3251340072516.5566</v>
      </c>
      <c r="CN45" s="76"/>
      <c r="CO45" s="953">
        <f t="shared" si="19"/>
        <v>2038</v>
      </c>
      <c r="CP45" s="691">
        <f t="shared" si="22"/>
        <v>10737418.24</v>
      </c>
      <c r="CQ45" s="987">
        <v>64</v>
      </c>
      <c r="CR45" s="875">
        <f t="shared" si="16"/>
        <v>687194767.36000001</v>
      </c>
      <c r="CS45" s="969"/>
      <c r="CT45" s="977"/>
      <c r="CU45" s="691">
        <f t="shared" si="17"/>
        <v>0</v>
      </c>
      <c r="CW45" s="691">
        <f t="shared" si="7"/>
        <v>0</v>
      </c>
      <c r="CX45" s="691">
        <f t="shared" si="20"/>
        <v>10977936408.576</v>
      </c>
      <c r="CY45" s="894">
        <f t="shared" si="14"/>
        <v>0.125</v>
      </c>
      <c r="CZ45" s="975">
        <f t="shared" si="11"/>
        <v>1372242051.072</v>
      </c>
      <c r="DA45" s="691">
        <f t="shared" si="13"/>
        <v>3231496868.6900415</v>
      </c>
      <c r="DB45" s="183">
        <f t="shared" si="21"/>
        <v>0</v>
      </c>
      <c r="DC45" s="949">
        <f t="shared" si="10"/>
        <v>2038</v>
      </c>
    </row>
    <row r="46" spans="1:107" x14ac:dyDescent="0.3">
      <c r="A46" s="690"/>
      <c r="B46" s="690"/>
      <c r="BS46" s="1150" t="s">
        <v>948</v>
      </c>
      <c r="BT46" s="1216">
        <f>'2034 - ŔÉŚ 11. É98%'!BZ29</f>
        <v>15172255120.30278</v>
      </c>
      <c r="BU46" s="88"/>
      <c r="BV46" s="253"/>
      <c r="BW46" s="253"/>
      <c r="BX46" s="253"/>
      <c r="BY46" s="181" t="s">
        <v>805</v>
      </c>
      <c r="BZ46" s="1" t="s">
        <v>998</v>
      </c>
      <c r="CB46" s="19">
        <v>0.01</v>
      </c>
      <c r="CH46" s="332" t="s">
        <v>989</v>
      </c>
      <c r="CI46" s="953">
        <f t="shared" si="24"/>
        <v>2039</v>
      </c>
      <c r="CJ46" s="691">
        <f t="shared" si="25"/>
        <v>133304942973178.83</v>
      </c>
      <c r="CK46" s="894">
        <f t="shared" si="26"/>
        <v>2.5000000000000001E-2</v>
      </c>
      <c r="CL46" s="691">
        <f t="shared" si="27"/>
        <v>3332623574329.4707</v>
      </c>
      <c r="CN46" s="76"/>
      <c r="CO46" s="953">
        <f t="shared" si="19"/>
        <v>2039</v>
      </c>
      <c r="CP46" s="691">
        <f t="shared" si="22"/>
        <v>10737418.24</v>
      </c>
      <c r="CQ46" s="987">
        <v>64</v>
      </c>
      <c r="CR46" s="875">
        <f t="shared" si="16"/>
        <v>687194767.36000001</v>
      </c>
      <c r="CS46" s="969"/>
      <c r="CT46" s="977"/>
      <c r="CU46" s="691">
        <f t="shared" si="17"/>
        <v>0</v>
      </c>
      <c r="CW46" s="691">
        <f t="shared" si="7"/>
        <v>0</v>
      </c>
      <c r="CX46" s="691">
        <f t="shared" si="20"/>
        <v>10977936408.576</v>
      </c>
      <c r="CY46" s="894">
        <f t="shared" si="14"/>
        <v>0.125</v>
      </c>
      <c r="CZ46" s="975">
        <f t="shared" si="11"/>
        <v>1372242051.072</v>
      </c>
      <c r="DA46" s="691">
        <f t="shared" si="13"/>
        <v>3231496868.6900415</v>
      </c>
      <c r="DB46" s="183">
        <f t="shared" si="21"/>
        <v>0</v>
      </c>
      <c r="DC46" s="949">
        <f t="shared" si="10"/>
        <v>2039</v>
      </c>
    </row>
    <row r="47" spans="1:107" x14ac:dyDescent="0.3">
      <c r="K47" s="690"/>
      <c r="BS47" s="122" t="s">
        <v>1385</v>
      </c>
      <c r="BT47" s="183">
        <f>SUM(BT35:BT46)</f>
        <v>23178196255.102779</v>
      </c>
      <c r="BU47" s="251"/>
      <c r="BV47" s="76" t="s">
        <v>805</v>
      </c>
      <c r="BW47" s="691">
        <f>AE82</f>
        <v>6630548568.2489748</v>
      </c>
      <c r="BX47" s="76"/>
      <c r="BY47" s="691">
        <f>BW47</f>
        <v>6630548568.2489748</v>
      </c>
      <c r="BZ47" s="691">
        <f>CJ31</f>
        <v>92042471679365.094</v>
      </c>
      <c r="CA47" s="76"/>
      <c r="CB47" s="736">
        <f>BZ47*CB46</f>
        <v>920424716793.651</v>
      </c>
      <c r="CC47" s="76"/>
      <c r="CD47" s="208">
        <f>CB47/BY47</f>
        <v>138.81577177508268</v>
      </c>
      <c r="CE47" s="76"/>
      <c r="CF47" s="76"/>
      <c r="CG47" s="76"/>
      <c r="CH47" s="332" t="s">
        <v>989</v>
      </c>
      <c r="CI47" s="953">
        <f t="shared" si="24"/>
        <v>2040</v>
      </c>
      <c r="CJ47" s="691">
        <f t="shared" si="25"/>
        <v>136637566547508.3</v>
      </c>
      <c r="CK47" s="894">
        <f t="shared" si="26"/>
        <v>2.5000000000000001E-2</v>
      </c>
      <c r="CL47" s="691">
        <f t="shared" si="27"/>
        <v>3415939163687.7075</v>
      </c>
      <c r="CN47" s="76"/>
      <c r="CO47" s="953">
        <f t="shared" si="19"/>
        <v>2040</v>
      </c>
      <c r="CP47" s="691">
        <f t="shared" si="22"/>
        <v>10737418.24</v>
      </c>
      <c r="CQ47" s="987">
        <v>64</v>
      </c>
      <c r="CR47" s="875">
        <f t="shared" si="16"/>
        <v>687194767.36000001</v>
      </c>
      <c r="CS47" s="969"/>
      <c r="CT47" s="977"/>
      <c r="CU47" s="691">
        <f t="shared" si="17"/>
        <v>0</v>
      </c>
      <c r="CW47" s="691">
        <f t="shared" si="7"/>
        <v>0</v>
      </c>
      <c r="CX47" s="691">
        <f t="shared" si="20"/>
        <v>10977936408.576</v>
      </c>
      <c r="CY47" s="894">
        <f t="shared" si="14"/>
        <v>0.125</v>
      </c>
      <c r="CZ47" s="975">
        <f t="shared" si="11"/>
        <v>1372242051.072</v>
      </c>
      <c r="DA47" s="691">
        <f t="shared" si="13"/>
        <v>3231496868.6900415</v>
      </c>
      <c r="DB47" s="183">
        <f t="shared" si="21"/>
        <v>0</v>
      </c>
      <c r="DC47" s="949">
        <f t="shared" si="10"/>
        <v>2040</v>
      </c>
    </row>
    <row r="48" spans="1:107" ht="16.2" thickBot="1" x14ac:dyDescent="0.35">
      <c r="BS48" s="1150" t="s">
        <v>309</v>
      </c>
      <c r="BT48" s="182">
        <f>BT47*BT34</f>
        <v>345139919424.52417</v>
      </c>
      <c r="BX48" s="565" t="s">
        <v>894</v>
      </c>
      <c r="BY48" s="208">
        <f>BY32/BY47</f>
        <v>34.439823875561011</v>
      </c>
      <c r="BZ48" s="367"/>
      <c r="CB48" s="192">
        <f>BY60</f>
        <v>234985473457.09689</v>
      </c>
      <c r="CC48" s="193"/>
      <c r="CD48" s="1" t="s">
        <v>1339</v>
      </c>
      <c r="CH48" s="332" t="s">
        <v>989</v>
      </c>
      <c r="CI48" s="953">
        <f t="shared" si="24"/>
        <v>2041</v>
      </c>
      <c r="CJ48" s="691">
        <f t="shared" si="25"/>
        <v>140053505711196</v>
      </c>
      <c r="CK48" s="894">
        <f t="shared" si="26"/>
        <v>2.5000000000000001E-2</v>
      </c>
      <c r="CL48" s="691">
        <f t="shared" si="27"/>
        <v>3501337642779.9004</v>
      </c>
      <c r="CN48" s="76"/>
      <c r="CO48" s="953">
        <f t="shared" si="19"/>
        <v>2041</v>
      </c>
      <c r="CP48" s="691">
        <f t="shared" si="22"/>
        <v>10737418.24</v>
      </c>
      <c r="CQ48" s="987">
        <v>64</v>
      </c>
      <c r="CR48" s="875">
        <f t="shared" si="16"/>
        <v>687194767.36000001</v>
      </c>
      <c r="CS48" s="969"/>
      <c r="CT48" s="977"/>
      <c r="CU48" s="691">
        <f t="shared" si="17"/>
        <v>0</v>
      </c>
      <c r="CW48" s="691">
        <f t="shared" si="7"/>
        <v>0</v>
      </c>
      <c r="CX48" s="691">
        <f t="shared" si="20"/>
        <v>10977936408.576</v>
      </c>
      <c r="CY48" s="894">
        <f t="shared" si="14"/>
        <v>0.125</v>
      </c>
      <c r="CZ48" s="975">
        <f t="shared" si="11"/>
        <v>1372242051.072</v>
      </c>
      <c r="DA48" s="691">
        <f t="shared" si="13"/>
        <v>3231496868.6900415</v>
      </c>
      <c r="DB48" s="183">
        <f t="shared" si="21"/>
        <v>0</v>
      </c>
      <c r="DC48" s="949">
        <f t="shared" si="10"/>
        <v>2041</v>
      </c>
    </row>
    <row r="49" spans="3:107" ht="16.2" thickBot="1" x14ac:dyDescent="0.35">
      <c r="C49" s="1" t="s">
        <v>801</v>
      </c>
      <c r="BS49" s="1150" t="s">
        <v>308</v>
      </c>
      <c r="BT49" s="182">
        <f>BT48*BU49</f>
        <v>228354924888.84793</v>
      </c>
      <c r="BU49" s="680">
        <v>0.66163000000000005</v>
      </c>
      <c r="BV49" s="1" t="s">
        <v>1275</v>
      </c>
      <c r="BX49" s="565" t="s">
        <v>888</v>
      </c>
      <c r="BY49" s="953">
        <v>8</v>
      </c>
      <c r="BZ49" s="1" t="s">
        <v>889</v>
      </c>
      <c r="CD49" s="1" t="s">
        <v>1340</v>
      </c>
      <c r="CH49" s="332" t="s">
        <v>989</v>
      </c>
      <c r="CI49" s="953">
        <f t="shared" si="24"/>
        <v>2042</v>
      </c>
      <c r="CJ49" s="691">
        <f t="shared" si="25"/>
        <v>143554843353975.91</v>
      </c>
      <c r="CK49" s="894">
        <f t="shared" si="26"/>
        <v>2.5000000000000001E-2</v>
      </c>
      <c r="CL49" s="691">
        <f t="shared" si="27"/>
        <v>3588871083849.3979</v>
      </c>
      <c r="CN49" s="76"/>
      <c r="CO49" s="953">
        <f t="shared" si="19"/>
        <v>2042</v>
      </c>
      <c r="CP49" s="691">
        <f t="shared" si="22"/>
        <v>10737418.24</v>
      </c>
      <c r="CQ49" s="987">
        <v>64</v>
      </c>
      <c r="CR49" s="875">
        <f t="shared" si="16"/>
        <v>687194767.36000001</v>
      </c>
      <c r="CS49" s="969"/>
      <c r="CT49" s="977"/>
      <c r="CU49" s="691">
        <f t="shared" si="17"/>
        <v>0</v>
      </c>
      <c r="CW49" s="691">
        <f t="shared" si="7"/>
        <v>0</v>
      </c>
      <c r="CX49" s="691">
        <f t="shared" si="20"/>
        <v>10977936408.576</v>
      </c>
      <c r="CY49" s="894">
        <f t="shared" si="14"/>
        <v>0.125</v>
      </c>
      <c r="CZ49" s="975">
        <f t="shared" si="11"/>
        <v>1372242051.072</v>
      </c>
      <c r="DA49" s="691">
        <f t="shared" si="13"/>
        <v>3231496868.6900415</v>
      </c>
      <c r="DB49" s="183">
        <f t="shared" si="21"/>
        <v>0</v>
      </c>
      <c r="DC49" s="949">
        <f t="shared" si="10"/>
        <v>2042</v>
      </c>
    </row>
    <row r="50" spans="3:107" x14ac:dyDescent="0.3">
      <c r="C50" s="13"/>
      <c r="D50" s="4"/>
      <c r="E50" s="120" t="s">
        <v>275</v>
      </c>
      <c r="F50" s="4"/>
      <c r="G50" s="173" t="s">
        <v>288</v>
      </c>
      <c r="H50" s="462" t="s">
        <v>1367</v>
      </c>
      <c r="I50" s="170" t="s">
        <v>1373</v>
      </c>
      <c r="J50" s="175" t="s">
        <v>297</v>
      </c>
      <c r="K50" s="170" t="s">
        <v>802</v>
      </c>
      <c r="BT50" s="239"/>
      <c r="BV50" s="1" t="s">
        <v>1276</v>
      </c>
      <c r="BX50" s="565" t="s">
        <v>890</v>
      </c>
      <c r="BY50" s="208">
        <f>BY48/BY49</f>
        <v>4.3049779844451264</v>
      </c>
      <c r="CH50" s="332" t="s">
        <v>989</v>
      </c>
      <c r="CI50" s="953">
        <f t="shared" si="24"/>
        <v>2043</v>
      </c>
      <c r="CJ50" s="691">
        <f t="shared" si="25"/>
        <v>147143714437825.31</v>
      </c>
      <c r="CK50" s="894">
        <f t="shared" si="26"/>
        <v>2.5000000000000001E-2</v>
      </c>
      <c r="CL50" s="691">
        <f t="shared" si="27"/>
        <v>3678592860945.6328</v>
      </c>
      <c r="CN50" s="76"/>
      <c r="CO50" s="953">
        <f t="shared" si="19"/>
        <v>2043</v>
      </c>
      <c r="CP50" s="691">
        <f t="shared" si="22"/>
        <v>10737418.24</v>
      </c>
      <c r="CQ50" s="987">
        <v>64</v>
      </c>
      <c r="CR50" s="875">
        <f t="shared" si="16"/>
        <v>687194767.36000001</v>
      </c>
      <c r="CS50" s="969"/>
      <c r="CT50" s="977"/>
      <c r="CU50" s="691">
        <f t="shared" si="17"/>
        <v>0</v>
      </c>
      <c r="CW50" s="691">
        <f t="shared" si="7"/>
        <v>0</v>
      </c>
      <c r="CX50" s="691">
        <f t="shared" si="20"/>
        <v>10977936408.576</v>
      </c>
      <c r="CY50" s="894">
        <f t="shared" si="14"/>
        <v>0.125</v>
      </c>
      <c r="CZ50" s="975">
        <f t="shared" si="11"/>
        <v>1372242051.072</v>
      </c>
      <c r="DA50" s="691">
        <f t="shared" si="13"/>
        <v>3231496868.6900415</v>
      </c>
      <c r="DB50" s="183">
        <f t="shared" si="21"/>
        <v>0</v>
      </c>
      <c r="DC50" s="949">
        <f t="shared" si="10"/>
        <v>2043</v>
      </c>
    </row>
    <row r="51" spans="3:107" x14ac:dyDescent="0.3">
      <c r="C51" s="122"/>
      <c r="D51" s="7"/>
      <c r="E51" s="875">
        <f>E8</f>
        <v>23178196255.102779</v>
      </c>
      <c r="F51" s="7"/>
      <c r="G51" s="468" t="s">
        <v>1386</v>
      </c>
      <c r="H51" s="469"/>
      <c r="I51" s="470"/>
      <c r="J51" s="471"/>
      <c r="K51" s="470"/>
      <c r="BT51" s="277" t="s">
        <v>748</v>
      </c>
      <c r="BX51" s="239"/>
      <c r="BY51" s="76"/>
      <c r="CH51" s="332" t="s">
        <v>989</v>
      </c>
      <c r="CI51" s="953">
        <f t="shared" si="24"/>
        <v>2044</v>
      </c>
      <c r="CJ51" s="691">
        <f t="shared" si="25"/>
        <v>150822307298770.94</v>
      </c>
      <c r="CK51" s="894">
        <f t="shared" si="26"/>
        <v>2.5000000000000001E-2</v>
      </c>
      <c r="CL51" s="691">
        <f t="shared" si="27"/>
        <v>3770557682469.2734</v>
      </c>
      <c r="CN51" s="76"/>
      <c r="CO51" s="953">
        <f t="shared" si="19"/>
        <v>2044</v>
      </c>
      <c r="CP51" s="691">
        <f t="shared" si="22"/>
        <v>10737418.24</v>
      </c>
      <c r="CQ51" s="987">
        <v>64</v>
      </c>
      <c r="CR51" s="875">
        <f t="shared" si="16"/>
        <v>687194767.36000001</v>
      </c>
      <c r="CS51" s="969"/>
      <c r="CT51" s="977"/>
      <c r="CU51" s="691">
        <f t="shared" si="17"/>
        <v>0</v>
      </c>
      <c r="CW51" s="691">
        <f t="shared" si="7"/>
        <v>0</v>
      </c>
      <c r="CX51" s="691">
        <f t="shared" si="20"/>
        <v>10977936408.576</v>
      </c>
      <c r="CY51" s="894">
        <f t="shared" si="14"/>
        <v>0.125</v>
      </c>
      <c r="CZ51" s="975">
        <f t="shared" si="11"/>
        <v>1372242051.072</v>
      </c>
      <c r="DA51" s="691">
        <f t="shared" si="13"/>
        <v>3231496868.6900415</v>
      </c>
      <c r="DB51" s="183">
        <f t="shared" si="21"/>
        <v>0</v>
      </c>
      <c r="DC51" s="949">
        <f t="shared" si="10"/>
        <v>2044</v>
      </c>
    </row>
    <row r="52" spans="3:107" ht="16.2" thickBot="1" x14ac:dyDescent="0.35">
      <c r="C52" s="122"/>
      <c r="D52" s="7"/>
      <c r="E52" s="7"/>
      <c r="F52" s="127"/>
      <c r="G52" s="127" t="s">
        <v>280</v>
      </c>
      <c r="H52" s="7"/>
      <c r="I52" s="459" t="s">
        <v>282</v>
      </c>
      <c r="J52" s="122"/>
      <c r="K52" s="8"/>
      <c r="BT52" s="277" t="s">
        <v>747</v>
      </c>
      <c r="BV52" s="110" t="s">
        <v>746</v>
      </c>
      <c r="BX52" s="565" t="s">
        <v>891</v>
      </c>
      <c r="BY52" s="76"/>
      <c r="CH52" s="332" t="s">
        <v>989</v>
      </c>
      <c r="CI52" s="953">
        <f t="shared" si="24"/>
        <v>2045</v>
      </c>
      <c r="CJ52" s="691">
        <f t="shared" si="25"/>
        <v>154592864981240.22</v>
      </c>
      <c r="CK52" s="894">
        <f t="shared" si="26"/>
        <v>2.5000000000000001E-2</v>
      </c>
      <c r="CL52" s="691">
        <f t="shared" si="27"/>
        <v>3864821624531.0059</v>
      </c>
      <c r="CN52" s="76"/>
      <c r="CO52" s="953">
        <f t="shared" si="19"/>
        <v>2045</v>
      </c>
      <c r="CP52" s="691">
        <f t="shared" si="22"/>
        <v>10737418.24</v>
      </c>
      <c r="CQ52" s="987">
        <v>64</v>
      </c>
      <c r="CR52" s="875">
        <f t="shared" si="16"/>
        <v>687194767.36000001</v>
      </c>
      <c r="CS52" s="969"/>
      <c r="CT52" s="977"/>
      <c r="CU52" s="691">
        <f t="shared" si="17"/>
        <v>0</v>
      </c>
      <c r="CW52" s="691">
        <f t="shared" si="7"/>
        <v>0</v>
      </c>
      <c r="CX52" s="691">
        <f t="shared" si="20"/>
        <v>10977936408.576</v>
      </c>
      <c r="CY52" s="894">
        <f t="shared" si="14"/>
        <v>0.125</v>
      </c>
      <c r="CZ52" s="975">
        <f t="shared" si="11"/>
        <v>1372242051.072</v>
      </c>
      <c r="DA52" s="691">
        <f t="shared" si="13"/>
        <v>3231496868.6900415</v>
      </c>
      <c r="DB52" s="183">
        <f t="shared" si="21"/>
        <v>0</v>
      </c>
      <c r="DC52" s="949">
        <f t="shared" si="10"/>
        <v>2045</v>
      </c>
    </row>
    <row r="53" spans="3:107" ht="16.2" thickBot="1" x14ac:dyDescent="0.35">
      <c r="C53" s="122"/>
      <c r="D53" s="7"/>
      <c r="E53" s="7"/>
      <c r="F53" s="129">
        <v>0.25</v>
      </c>
      <c r="G53" s="130">
        <f>E57*F53</f>
        <v>322041908.95424575</v>
      </c>
      <c r="H53" s="460">
        <v>0.5</v>
      </c>
      <c r="I53" s="130">
        <f>G53*H53</f>
        <v>161020954.47712287</v>
      </c>
      <c r="J53" s="460">
        <v>0</v>
      </c>
      <c r="K53" s="458">
        <f>I53*J53</f>
        <v>0</v>
      </c>
      <c r="BR53" s="933">
        <f>BU53</f>
        <v>1024</v>
      </c>
      <c r="BS53" s="927" t="s">
        <v>745</v>
      </c>
      <c r="BT53" s="578">
        <f>BV53*BU53</f>
        <v>21990232555.52</v>
      </c>
      <c r="BU53" s="934">
        <v>1024</v>
      </c>
      <c r="BV53" s="578">
        <f>'POP Dimensions'!J15</f>
        <v>21474836.48</v>
      </c>
      <c r="BW53" s="239"/>
      <c r="BX53" s="565" t="s">
        <v>901</v>
      </c>
      <c r="BY53" s="484">
        <v>0.17</v>
      </c>
      <c r="BZ53" s="1" t="s">
        <v>895</v>
      </c>
      <c r="CH53" s="332" t="s">
        <v>989</v>
      </c>
      <c r="CI53" s="953">
        <f t="shared" si="24"/>
        <v>2046</v>
      </c>
      <c r="CJ53" s="691">
        <f t="shared" si="25"/>
        <v>158457686605771.22</v>
      </c>
      <c r="CK53" s="894">
        <f t="shared" si="26"/>
        <v>2.5000000000000001E-2</v>
      </c>
      <c r="CL53" s="691">
        <f t="shared" si="27"/>
        <v>3961442165144.2808</v>
      </c>
      <c r="CN53" s="76"/>
      <c r="CO53" s="953">
        <f t="shared" si="19"/>
        <v>2046</v>
      </c>
      <c r="CP53" s="691">
        <f t="shared" si="22"/>
        <v>10737418.24</v>
      </c>
      <c r="CQ53" s="987">
        <v>64</v>
      </c>
      <c r="CR53" s="875">
        <f t="shared" si="16"/>
        <v>687194767.36000001</v>
      </c>
      <c r="CS53" s="969"/>
      <c r="CT53" s="977"/>
      <c r="CU53" s="691">
        <f t="shared" si="17"/>
        <v>0</v>
      </c>
      <c r="CW53" s="691">
        <f t="shared" si="7"/>
        <v>0</v>
      </c>
      <c r="CX53" s="691">
        <f t="shared" si="20"/>
        <v>10977936408.576</v>
      </c>
      <c r="CY53" s="894">
        <f t="shared" si="14"/>
        <v>0.125</v>
      </c>
      <c r="CZ53" s="975">
        <f t="shared" si="11"/>
        <v>1372242051.072</v>
      </c>
      <c r="DA53" s="691">
        <f t="shared" si="13"/>
        <v>3231496868.6900415</v>
      </c>
      <c r="DB53" s="183">
        <f t="shared" si="21"/>
        <v>0</v>
      </c>
      <c r="DC53" s="949">
        <f t="shared" si="10"/>
        <v>2046</v>
      </c>
    </row>
    <row r="54" spans="3:107" ht="16.2" thickBot="1" x14ac:dyDescent="0.35">
      <c r="C54" s="122"/>
      <c r="D54" s="7"/>
      <c r="E54" s="7"/>
      <c r="F54" s="133"/>
      <c r="G54" s="134" t="s">
        <v>290</v>
      </c>
      <c r="H54" s="7"/>
      <c r="I54" s="457" t="s">
        <v>283</v>
      </c>
      <c r="J54" s="122"/>
      <c r="K54" s="8"/>
      <c r="BR54" s="927"/>
      <c r="BT54" s="999" t="s">
        <v>1355</v>
      </c>
      <c r="BU54" s="254"/>
      <c r="BV54" s="248" t="s">
        <v>1290</v>
      </c>
      <c r="BX54" s="566"/>
      <c r="BY54" s="76"/>
      <c r="CH54" s="332" t="s">
        <v>989</v>
      </c>
      <c r="CI54" s="953">
        <f t="shared" si="24"/>
        <v>2047</v>
      </c>
      <c r="CJ54" s="691">
        <f t="shared" si="25"/>
        <v>162419128770915.5</v>
      </c>
      <c r="CK54" s="894">
        <f t="shared" si="26"/>
        <v>2.5000000000000001E-2</v>
      </c>
      <c r="CL54" s="691">
        <f t="shared" si="27"/>
        <v>4060478219272.8877</v>
      </c>
      <c r="CN54" s="76"/>
      <c r="CO54" s="953">
        <f t="shared" si="19"/>
        <v>2047</v>
      </c>
      <c r="CP54" s="691">
        <f t="shared" si="22"/>
        <v>10737418.24</v>
      </c>
      <c r="CQ54" s="987">
        <v>64</v>
      </c>
      <c r="CR54" s="875">
        <f t="shared" si="16"/>
        <v>687194767.36000001</v>
      </c>
      <c r="CS54" s="969"/>
      <c r="CT54" s="977"/>
      <c r="CU54" s="691">
        <f t="shared" si="17"/>
        <v>0</v>
      </c>
      <c r="CW54" s="691">
        <f t="shared" si="7"/>
        <v>0</v>
      </c>
      <c r="CX54" s="691">
        <f t="shared" si="20"/>
        <v>10977936408.576</v>
      </c>
      <c r="CY54" s="894">
        <f t="shared" si="14"/>
        <v>0.125</v>
      </c>
      <c r="CZ54" s="975">
        <f t="shared" si="11"/>
        <v>1372242051.072</v>
      </c>
      <c r="DA54" s="691">
        <f t="shared" si="13"/>
        <v>3231496868.6900415</v>
      </c>
      <c r="DB54" s="183">
        <f t="shared" si="21"/>
        <v>0</v>
      </c>
      <c r="DC54" s="949">
        <f t="shared" si="10"/>
        <v>2047</v>
      </c>
    </row>
    <row r="55" spans="3:107" ht="16.2" thickBot="1" x14ac:dyDescent="0.35">
      <c r="C55" s="122"/>
      <c r="D55" s="7"/>
      <c r="E55" s="7"/>
      <c r="F55" s="133">
        <v>0.25</v>
      </c>
      <c r="G55" s="135">
        <f>E57*F55</f>
        <v>322041908.95424575</v>
      </c>
      <c r="H55" s="461">
        <v>0.9</v>
      </c>
      <c r="I55" s="135">
        <f>G55*H55</f>
        <v>289837718.0588212</v>
      </c>
      <c r="J55" s="461">
        <v>0</v>
      </c>
      <c r="K55" s="440">
        <f>I55*J55</f>
        <v>0</v>
      </c>
      <c r="BR55" s="239"/>
      <c r="BT55" s="1002" t="s">
        <v>867</v>
      </c>
      <c r="BU55" s="254"/>
      <c r="BV55" s="253"/>
      <c r="BX55" s="239"/>
      <c r="BY55" s="484">
        <v>0.17</v>
      </c>
      <c r="BZ55" s="32">
        <f>BY55</f>
        <v>0.17</v>
      </c>
      <c r="CH55" s="332" t="s">
        <v>989</v>
      </c>
      <c r="CI55" s="953">
        <f t="shared" si="24"/>
        <v>2048</v>
      </c>
      <c r="CJ55" s="691">
        <f t="shared" si="25"/>
        <v>166479606990188.38</v>
      </c>
      <c r="CK55" s="894">
        <f t="shared" si="26"/>
        <v>2.5000000000000001E-2</v>
      </c>
      <c r="CL55" s="691">
        <f t="shared" si="27"/>
        <v>4161990174754.7095</v>
      </c>
      <c r="CM55" s="895" t="s">
        <v>1280</v>
      </c>
      <c r="CN55" s="76"/>
      <c r="CO55" s="953">
        <f t="shared" si="19"/>
        <v>2048</v>
      </c>
      <c r="CP55" s="691">
        <f t="shared" si="22"/>
        <v>10737418.24</v>
      </c>
      <c r="CQ55" s="987">
        <v>64</v>
      </c>
      <c r="CR55" s="875">
        <f t="shared" si="16"/>
        <v>687194767.36000001</v>
      </c>
      <c r="CS55" s="969"/>
      <c r="CT55" s="977"/>
      <c r="CU55" s="691">
        <f t="shared" si="17"/>
        <v>0</v>
      </c>
      <c r="CW55" s="691">
        <f t="shared" si="7"/>
        <v>0</v>
      </c>
      <c r="CX55" s="691">
        <f t="shared" si="20"/>
        <v>10977936408.576</v>
      </c>
      <c r="CY55" s="894">
        <f t="shared" si="14"/>
        <v>0.125</v>
      </c>
      <c r="CZ55" s="975">
        <f t="shared" si="11"/>
        <v>1372242051.072</v>
      </c>
      <c r="DA55" s="691">
        <f t="shared" si="13"/>
        <v>3231496868.6900415</v>
      </c>
      <c r="DB55" s="183">
        <f t="shared" si="21"/>
        <v>0</v>
      </c>
      <c r="DC55" s="949">
        <f t="shared" si="10"/>
        <v>2048</v>
      </c>
    </row>
    <row r="56" spans="3:107" ht="18.600000000000001" thickBot="1" x14ac:dyDescent="0.4">
      <c r="C56" s="122"/>
      <c r="D56" s="7"/>
      <c r="E56" s="7"/>
      <c r="F56" s="136"/>
      <c r="G56" s="136" t="s">
        <v>279</v>
      </c>
      <c r="H56" s="7"/>
      <c r="I56" s="451" t="s">
        <v>284</v>
      </c>
      <c r="J56" s="122"/>
      <c r="K56" s="8"/>
      <c r="S56" s="88"/>
      <c r="BR56" s="239"/>
      <c r="BT56" s="719">
        <f>BT48-BT53</f>
        <v>323149686869.00415</v>
      </c>
      <c r="BU56" s="253"/>
      <c r="BV56" s="253"/>
      <c r="BW56" s="253"/>
      <c r="BX56" s="239" t="s">
        <v>892</v>
      </c>
      <c r="BY56" s="615">
        <f>BZ58</f>
        <v>25.32339990850074</v>
      </c>
      <c r="BZ56" s="569" t="s">
        <v>980</v>
      </c>
      <c r="CA56" s="569"/>
      <c r="CB56" s="181"/>
      <c r="CC56" s="181"/>
      <c r="CD56" s="252"/>
      <c r="CE56" s="252"/>
      <c r="CF56" s="252"/>
      <c r="CG56" s="252"/>
      <c r="CM56" s="1"/>
      <c r="CS56" s="979">
        <f>SUM(CS22:CS55)</f>
        <v>15.975</v>
      </c>
      <c r="CT56" s="979">
        <f>SUM(CT22:CT55)</f>
        <v>0</v>
      </c>
    </row>
    <row r="57" spans="3:107" ht="16.8" thickTop="1" thickBot="1" x14ac:dyDescent="0.35">
      <c r="C57" s="137" t="s">
        <v>291</v>
      </c>
      <c r="D57" s="138">
        <f>E57/E51</f>
        <v>5.5576698964803502E-2</v>
      </c>
      <c r="E57" s="139">
        <f>E14</f>
        <v>1288167635.816983</v>
      </c>
      <c r="F57" s="140">
        <v>0.5</v>
      </c>
      <c r="G57" s="139">
        <f>E57*F57</f>
        <v>644083817.90849149</v>
      </c>
      <c r="H57" s="463">
        <v>0.95</v>
      </c>
      <c r="I57" s="139">
        <f>G57*H57</f>
        <v>611879627.01306689</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7" t="s">
        <v>1293</v>
      </c>
      <c r="BT57" s="1003"/>
      <c r="BU57" s="253"/>
      <c r="BV57" s="877" t="s">
        <v>1293</v>
      </c>
      <c r="BW57" s="252"/>
      <c r="BX57" s="239"/>
      <c r="BY57" s="208">
        <f>BY50</f>
        <v>4.3049779844451264</v>
      </c>
      <c r="BZ57" s="80">
        <f>BY57</f>
        <v>4.3049779844451264</v>
      </c>
      <c r="CW57" s="77" t="s">
        <v>966</v>
      </c>
      <c r="CX57" s="77"/>
      <c r="CY57" s="77" t="s">
        <v>965</v>
      </c>
      <c r="CZ57" s="77"/>
      <c r="DA57" s="77"/>
    </row>
    <row r="58" spans="3:107"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7" t="s">
        <v>1294</v>
      </c>
      <c r="BT58" s="996">
        <f>BT56*BU58</f>
        <v>3231496868.6900415</v>
      </c>
      <c r="BU58" s="923">
        <v>0.01</v>
      </c>
      <c r="BV58" s="924" t="s">
        <v>1443</v>
      </c>
      <c r="BW58" s="925"/>
      <c r="BX58" s="239"/>
      <c r="BY58" s="76"/>
      <c r="BZ58" s="1">
        <f>BZ57/BZ55</f>
        <v>25.32339990850074</v>
      </c>
      <c r="CW58" s="77" t="s">
        <v>785</v>
      </c>
      <c r="CX58" s="77"/>
      <c r="CY58" s="77" t="s">
        <v>962</v>
      </c>
      <c r="CZ58" s="77"/>
      <c r="DA58" s="77"/>
    </row>
    <row r="59" spans="3:107"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76"/>
      <c r="BQ59" s="410"/>
      <c r="BR59" s="928"/>
      <c r="BS59" s="948" t="s">
        <v>1295</v>
      </c>
      <c r="BT59" s="911">
        <f>BT56*BU59</f>
        <v>6462993737.3800831</v>
      </c>
      <c r="BU59" s="912">
        <v>0.02</v>
      </c>
      <c r="BV59" s="875" t="s">
        <v>1162</v>
      </c>
      <c r="BW59" s="126"/>
      <c r="BX59" s="239"/>
      <c r="BY59" s="76"/>
      <c r="CD59" s="32"/>
    </row>
    <row r="60" spans="3:107" ht="16.2" thickBot="1" x14ac:dyDescent="0.35">
      <c r="C60" s="397" t="s">
        <v>276</v>
      </c>
      <c r="D60" s="398">
        <f>100%-D57-D63</f>
        <v>0.78125</v>
      </c>
      <c r="E60" s="399">
        <f>E51*D60</f>
        <v>18107965824.299046</v>
      </c>
      <c r="F60" s="400">
        <v>1</v>
      </c>
      <c r="G60" s="399">
        <f>E60*F60</f>
        <v>18107965824.299046</v>
      </c>
      <c r="H60" s="464">
        <v>0.9</v>
      </c>
      <c r="I60" s="399">
        <f>G60*H60</f>
        <v>16297169241.869141</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8" t="s">
        <v>1296</v>
      </c>
      <c r="BT60" s="911">
        <f>BT56*BU60</f>
        <v>12925987474.760166</v>
      </c>
      <c r="BU60" s="912">
        <v>0.04</v>
      </c>
      <c r="BV60" s="875" t="s">
        <v>1441</v>
      </c>
      <c r="BW60" s="126"/>
      <c r="BX60" s="239"/>
      <c r="BY60" s="691">
        <f>BY32+BY47</f>
        <v>234985473457.09689</v>
      </c>
      <c r="BZ60" s="1" t="s">
        <v>958</v>
      </c>
      <c r="CM60" s="1"/>
      <c r="CQ60" s="1"/>
      <c r="DB60" s="1"/>
      <c r="DC60" s="1"/>
    </row>
    <row r="61" spans="3:107"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10"/>
      <c r="BR61" s="927"/>
      <c r="BS61" s="948" t="s">
        <v>1297</v>
      </c>
      <c r="BT61" s="911">
        <f>BT56*BU61</f>
        <v>19388981212.140247</v>
      </c>
      <c r="BU61" s="912">
        <v>0.06</v>
      </c>
      <c r="BV61" s="875" t="s">
        <v>1303</v>
      </c>
      <c r="BW61" s="126"/>
      <c r="BX61" s="253"/>
      <c r="BY61" s="647">
        <f>BY60/BY47</f>
        <v>35.439823875561011</v>
      </c>
    </row>
    <row r="62" spans="3:107"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8" t="s">
        <v>1300</v>
      </c>
      <c r="BT62" s="911">
        <f>BT56*BU62</f>
        <v>29083471818.210373</v>
      </c>
      <c r="BU62" s="912">
        <v>0.09</v>
      </c>
      <c r="BV62" s="410" t="s">
        <v>1442</v>
      </c>
      <c r="BW62" s="126"/>
      <c r="BX62" s="253"/>
    </row>
    <row r="63" spans="3:107" ht="16.2" thickBot="1" x14ac:dyDescent="0.35">
      <c r="C63" s="149" t="s">
        <v>737</v>
      </c>
      <c r="D63" s="150">
        <f>E63/E51</f>
        <v>0.16317330103519651</v>
      </c>
      <c r="E63" s="151">
        <f>E21</f>
        <v>3782062794.9867501</v>
      </c>
      <c r="F63" s="152">
        <v>0.3</v>
      </c>
      <c r="G63" s="151">
        <f>E63*F63</f>
        <v>1134618838.4960251</v>
      </c>
      <c r="H63" s="465">
        <v>0.9</v>
      </c>
      <c r="I63" s="151">
        <f>G63*H63</f>
        <v>1021156954.6464226</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26"/>
      <c r="BP63" s="410"/>
      <c r="BQ63" s="410"/>
      <c r="BR63" s="927"/>
      <c r="BS63" s="948" t="s">
        <v>1305</v>
      </c>
      <c r="BT63" s="911">
        <f>BT56*BU63</f>
        <v>12925987474.760166</v>
      </c>
      <c r="BU63" s="912">
        <v>0.04</v>
      </c>
      <c r="BV63" s="410" t="s">
        <v>148</v>
      </c>
      <c r="BW63" s="126"/>
      <c r="BX63" s="253"/>
    </row>
    <row r="64" spans="3:107"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64"/>
      <c r="BQ64" s="106"/>
      <c r="BR64" s="929"/>
      <c r="BS64" s="938"/>
      <c r="BT64" s="1004"/>
      <c r="BU64" s="1005"/>
      <c r="BV64" s="1005"/>
      <c r="BW64" s="903"/>
      <c r="BX64" s="253"/>
    </row>
    <row r="65" spans="3:107" ht="16.2" thickBot="1" x14ac:dyDescent="0.35">
      <c r="C65" s="141"/>
      <c r="D65" s="429"/>
      <c r="E65" s="371"/>
      <c r="F65" s="430">
        <v>0.25</v>
      </c>
      <c r="G65" s="432">
        <f>E63*F65</f>
        <v>945515698.74668753</v>
      </c>
      <c r="H65" s="466">
        <v>0.95</v>
      </c>
      <c r="I65" s="432">
        <f>G65*H65</f>
        <v>898239913.80935311</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64"/>
      <c r="BQ65" s="106"/>
      <c r="BR65" s="927"/>
      <c r="BS65" s="939" t="s">
        <v>1299</v>
      </c>
      <c r="BT65" s="1006">
        <f>BT53</f>
        <v>21990232555.52</v>
      </c>
      <c r="BU65" s="935">
        <f>BT65/BT56</f>
        <v>6.8049679294395315E-2</v>
      </c>
      <c r="BV65" s="898" t="s">
        <v>1311</v>
      </c>
      <c r="BW65" s="905"/>
      <c r="BX65" s="253"/>
    </row>
    <row r="66" spans="3:107"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64"/>
      <c r="BQ66" s="106"/>
      <c r="BR66" s="106"/>
      <c r="BS66" s="940" t="s">
        <v>1325</v>
      </c>
      <c r="BT66" s="930">
        <f>BT56*BU66</f>
        <v>3231496868.6900415</v>
      </c>
      <c r="BU66" s="931">
        <v>0.01</v>
      </c>
      <c r="BV66" s="898" t="s">
        <v>1315</v>
      </c>
      <c r="BW66" s="905"/>
      <c r="BX66" s="946">
        <v>272</v>
      </c>
      <c r="BY66" s="181" t="s">
        <v>1314</v>
      </c>
    </row>
    <row r="67" spans="3:107" ht="16.2" thickBot="1" x14ac:dyDescent="0.35">
      <c r="C67" s="122"/>
      <c r="D67" s="7"/>
      <c r="E67" s="7"/>
      <c r="F67" s="153">
        <v>0.2</v>
      </c>
      <c r="G67" s="99">
        <f>E63*F67</f>
        <v>756412558.9973501</v>
      </c>
      <c r="H67" s="467">
        <v>0.9</v>
      </c>
      <c r="I67" s="99">
        <f>G67*H67</f>
        <v>680771303.09761512</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64"/>
      <c r="BQ67" s="106"/>
      <c r="BR67" s="106"/>
      <c r="BS67" s="940" t="s">
        <v>1307</v>
      </c>
      <c r="BT67" s="930">
        <f>BT56*BU67</f>
        <v>16157484343.450209</v>
      </c>
      <c r="BU67" s="931">
        <v>0.05</v>
      </c>
      <c r="BV67" s="898" t="s">
        <v>1323</v>
      </c>
      <c r="BW67" s="905"/>
      <c r="BX67" s="945">
        <v>100</v>
      </c>
      <c r="BY67" s="938">
        <f>BX66*BX67</f>
        <v>27200</v>
      </c>
      <c r="BZ67" s="1" t="s">
        <v>1316</v>
      </c>
    </row>
    <row r="68" spans="3:107"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64"/>
      <c r="BQ68" s="106"/>
      <c r="BR68" s="251"/>
      <c r="BS68" s="940" t="s">
        <v>1308</v>
      </c>
      <c r="BT68" s="930">
        <f>BT56*BU68</f>
        <v>9694490606.0701237</v>
      </c>
      <c r="BU68" s="931">
        <v>0.03</v>
      </c>
      <c r="BV68" s="898" t="s">
        <v>1438</v>
      </c>
      <c r="BW68" s="905"/>
      <c r="BX68" s="600"/>
      <c r="BY68" s="1">
        <v>1000</v>
      </c>
      <c r="BZ68" s="1" t="s">
        <v>226</v>
      </c>
    </row>
    <row r="69" spans="3:107" ht="16.2" thickBot="1" x14ac:dyDescent="0.35">
      <c r="C69" s="122"/>
      <c r="D69" s="7"/>
      <c r="E69" s="7"/>
      <c r="F69" s="438">
        <v>0.2</v>
      </c>
      <c r="G69" s="446">
        <f>E63*F69</f>
        <v>756412558.9973501</v>
      </c>
      <c r="H69" s="447">
        <v>0.25</v>
      </c>
      <c r="I69" s="446">
        <f>G69*H69</f>
        <v>189103139.74933752</v>
      </c>
      <c r="J69" s="447">
        <v>0</v>
      </c>
      <c r="K69" s="439">
        <f>I69*J69</f>
        <v>0</v>
      </c>
      <c r="Q69" s="240" t="s">
        <v>952</v>
      </c>
      <c r="S69" s="88"/>
      <c r="W69" s="691">
        <f>BW47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8"/>
      <c r="BQ69" s="88"/>
      <c r="BR69" s="88"/>
      <c r="BS69" s="940" t="s">
        <v>1317</v>
      </c>
      <c r="BT69" s="930">
        <f>BT56*BU69</f>
        <v>9694490606.0701237</v>
      </c>
      <c r="BU69" s="931">
        <v>0.03</v>
      </c>
      <c r="BV69" s="898" t="s">
        <v>1356</v>
      </c>
      <c r="BW69" s="905"/>
      <c r="BX69" s="601"/>
      <c r="BY69" s="1">
        <f>BY67*BY68</f>
        <v>27200000</v>
      </c>
      <c r="BZ69" s="1" t="s">
        <v>1320</v>
      </c>
    </row>
    <row r="70" spans="3:107"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8"/>
      <c r="BQ70" s="88"/>
      <c r="BR70" s="88"/>
      <c r="BS70" s="940" t="s">
        <v>1318</v>
      </c>
      <c r="BT70" s="930">
        <f>BT56*BU70</f>
        <v>9694490606.0701237</v>
      </c>
      <c r="BU70" s="931">
        <v>0.03</v>
      </c>
      <c r="BV70" s="898" t="s">
        <v>1357</v>
      </c>
      <c r="BW70" s="905"/>
      <c r="BX70" s="600"/>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55">
        <f>BU53</f>
        <v>1024</v>
      </c>
      <c r="U71" s="77" t="s">
        <v>804</v>
      </c>
      <c r="V71" s="947"/>
      <c r="W71" s="319">
        <v>0.3</v>
      </c>
      <c r="Y71" s="76" t="s">
        <v>893</v>
      </c>
      <c r="Z71" s="76"/>
      <c r="AA71" s="77" t="s">
        <v>1332</v>
      </c>
      <c r="AB71" s="88"/>
      <c r="AE71" s="958"/>
      <c r="AF71" s="644" t="s">
        <v>986</v>
      </c>
      <c r="AG71" s="958"/>
      <c r="BN71" s="88"/>
      <c r="BO71" s="88"/>
      <c r="BP71" s="958"/>
      <c r="BQ71" s="88"/>
      <c r="BR71" s="88"/>
      <c r="BS71" s="940" t="s">
        <v>1319</v>
      </c>
      <c r="BT71" s="930">
        <f>BT56*BU71</f>
        <v>9694490606.0701237</v>
      </c>
      <c r="BU71" s="931">
        <v>0.03</v>
      </c>
      <c r="BV71" s="898" t="s">
        <v>1358</v>
      </c>
      <c r="BW71" s="905"/>
      <c r="BX71" s="936"/>
    </row>
    <row r="72" spans="3:107" x14ac:dyDescent="0.3">
      <c r="C72" s="158"/>
      <c r="D72" s="10"/>
      <c r="E72" s="10"/>
      <c r="F72" s="10"/>
      <c r="G72" s="159">
        <f>SUM(G53:G71)</f>
        <v>22989093115.353439</v>
      </c>
      <c r="H72" s="160"/>
      <c r="I72" s="172">
        <f>SUM(I53:I71)</f>
        <v>20149178852.720879</v>
      </c>
      <c r="J72" s="158"/>
      <c r="K72" s="481">
        <f>SUM(K53:K71)</f>
        <v>0</v>
      </c>
      <c r="L72" s="482">
        <f>BT34</f>
        <v>14.890715206043703</v>
      </c>
      <c r="M72" s="480">
        <f>K72*L72</f>
        <v>0</v>
      </c>
      <c r="N72" s="239"/>
      <c r="O72" s="950">
        <f>BU53</f>
        <v>1024</v>
      </c>
      <c r="P72" s="239"/>
      <c r="Q72" s="480">
        <f>M72*O72</f>
        <v>0</v>
      </c>
      <c r="R72" s="239"/>
      <c r="S72" s="956">
        <f>M72*S71</f>
        <v>0</v>
      </c>
      <c r="T72" s="239"/>
      <c r="U72" s="910">
        <f>Q72+S72</f>
        <v>0</v>
      </c>
      <c r="V72" s="949" t="s">
        <v>1330</v>
      </c>
      <c r="W72" s="910">
        <f>W69*W71</f>
        <v>1989164570.4746923</v>
      </c>
      <c r="X72" s="949" t="s">
        <v>1330</v>
      </c>
      <c r="Y72" s="910">
        <f>BT59+BT60+BT61+BT62+BT63</f>
        <v>80787421717.251038</v>
      </c>
      <c r="Z72" s="949" t="s">
        <v>1331</v>
      </c>
      <c r="AA72" s="910">
        <f>U72+W72+Y72</f>
        <v>82776586287.725723</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181"/>
      <c r="BP72" s="958"/>
      <c r="BQ72" s="88"/>
      <c r="BR72" s="88"/>
      <c r="BS72" s="940" t="s">
        <v>1312</v>
      </c>
      <c r="BT72" s="930">
        <f>BT56*BU72</f>
        <v>9694490606.0701237</v>
      </c>
      <c r="BU72" s="931">
        <v>0.03</v>
      </c>
      <c r="BV72" s="898" t="s">
        <v>1359</v>
      </c>
      <c r="BW72" s="905"/>
      <c r="BX72" s="812"/>
    </row>
    <row r="73" spans="3:107"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BO73" s="88"/>
      <c r="BP73" s="88"/>
      <c r="BQ73" s="88"/>
      <c r="BR73" s="88"/>
      <c r="BS73" s="940" t="s">
        <v>1313</v>
      </c>
      <c r="BT73" s="930">
        <f>BT56*BU73</f>
        <v>16157484343.450209</v>
      </c>
      <c r="BU73" s="931">
        <v>0.05</v>
      </c>
      <c r="BV73" s="898" t="s">
        <v>1361</v>
      </c>
      <c r="BW73" s="905"/>
      <c r="BX73" s="255"/>
    </row>
    <row r="74" spans="3:107"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BO74" s="88"/>
      <c r="BP74" s="252"/>
      <c r="BQ74" s="252"/>
      <c r="BR74" s="252"/>
      <c r="BS74" s="940" t="s">
        <v>1324</v>
      </c>
      <c r="BT74" s="930">
        <f>BT56*BU74</f>
        <v>32314968686.900417</v>
      </c>
      <c r="BU74" s="931">
        <v>0.1</v>
      </c>
      <c r="BV74" s="898" t="s">
        <v>1439</v>
      </c>
      <c r="BW74" s="905"/>
      <c r="BX74" s="255"/>
    </row>
    <row r="75" spans="3:107"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BO75" s="88"/>
      <c r="BP75" s="252"/>
      <c r="BQ75" s="88"/>
      <c r="BR75" s="88"/>
      <c r="BS75" s="940" t="s">
        <v>1306</v>
      </c>
      <c r="BT75" s="930">
        <f>BT56*BU75</f>
        <v>6462993737.3800831</v>
      </c>
      <c r="BU75" s="931">
        <v>0.02</v>
      </c>
      <c r="BV75" s="899" t="s">
        <v>1360</v>
      </c>
      <c r="BW75" s="932"/>
      <c r="BX75" s="255"/>
    </row>
    <row r="76" spans="3:107" x14ac:dyDescent="0.3">
      <c r="R76" s="88"/>
      <c r="S76" s="252"/>
      <c r="T76" s="88"/>
      <c r="U76" s="88"/>
      <c r="V76" s="88"/>
      <c r="W76" s="88"/>
      <c r="X76" s="88"/>
      <c r="Y76" s="88"/>
      <c r="Z76" s="361" t="s">
        <v>1347</v>
      </c>
      <c r="AA76" s="736">
        <f>AA72</f>
        <v>82776586287.725723</v>
      </c>
      <c r="AB76" s="88"/>
      <c r="AD76" s="960">
        <f t="shared" si="30"/>
        <v>2018</v>
      </c>
      <c r="AE76" s="691">
        <f t="shared" si="31"/>
        <v>5717501250</v>
      </c>
      <c r="AF76" s="963">
        <f t="shared" si="28"/>
        <v>2.5000000000000001E-2</v>
      </c>
      <c r="AG76" s="691">
        <f t="shared" si="29"/>
        <v>142937531.25</v>
      </c>
      <c r="BO76" s="88"/>
      <c r="BP76" s="252"/>
      <c r="BQ76" s="88"/>
      <c r="BR76" s="88"/>
      <c r="BS76" s="941" t="s">
        <v>1309</v>
      </c>
      <c r="BT76" s="930">
        <f>BT56*BU76</f>
        <v>6462993737.3800831</v>
      </c>
      <c r="BU76" s="931">
        <v>0.02</v>
      </c>
      <c r="BV76" s="899" t="s">
        <v>1440</v>
      </c>
      <c r="BW76" s="932"/>
      <c r="BX76" s="255"/>
    </row>
    <row r="77" spans="3:107"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BO77" s="88"/>
      <c r="BP77" s="88"/>
      <c r="BQ77" s="88"/>
      <c r="BR77" s="88"/>
      <c r="BS77" s="940" t="s">
        <v>1310</v>
      </c>
      <c r="BT77" s="904">
        <f>BT56*BU77</f>
        <v>16157484343.450209</v>
      </c>
      <c r="BU77" s="1065">
        <v>0.05</v>
      </c>
      <c r="BV77" s="898" t="s">
        <v>1362</v>
      </c>
      <c r="BW77" s="905"/>
      <c r="BX77" s="255"/>
    </row>
    <row r="78" spans="3:107" x14ac:dyDescent="0.3">
      <c r="R78" s="88"/>
      <c r="S78" s="252"/>
      <c r="T78" s="88"/>
      <c r="U78" s="88"/>
      <c r="V78" s="88"/>
      <c r="W78" s="88"/>
      <c r="X78" s="88"/>
      <c r="Y78" s="88"/>
      <c r="Z78" s="555" t="s">
        <v>1333</v>
      </c>
      <c r="AA78" s="957">
        <f>AA72/W72</f>
        <v>41.613744541997349</v>
      </c>
      <c r="AB78" s="252"/>
      <c r="AD78" s="960">
        <f t="shared" ref="AD78:AD106" si="32">AD77+1</f>
        <v>2020</v>
      </c>
      <c r="AE78" s="691">
        <f t="shared" si="31"/>
        <v>6006949750.78125</v>
      </c>
      <c r="AF78" s="963">
        <f t="shared" si="28"/>
        <v>2.5000000000000001E-2</v>
      </c>
      <c r="AG78" s="691">
        <f t="shared" si="29"/>
        <v>150173743.76953125</v>
      </c>
      <c r="BO78" s="88"/>
      <c r="BP78" s="88"/>
      <c r="BQ78" s="88"/>
      <c r="BR78" s="88"/>
      <c r="BS78" s="940" t="s">
        <v>1452</v>
      </c>
      <c r="BT78" s="904">
        <f>BT56*BU78</f>
        <v>16157484343.450209</v>
      </c>
      <c r="BU78" s="1065">
        <v>0.05</v>
      </c>
      <c r="BV78" s="898" t="s">
        <v>1450</v>
      </c>
      <c r="BW78" s="905"/>
      <c r="BX78" s="255"/>
    </row>
    <row r="79" spans="3:107"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BO79" s="88"/>
      <c r="BP79" s="88"/>
      <c r="BQ79" s="88"/>
      <c r="BR79" s="88"/>
      <c r="BS79" s="940" t="s">
        <v>1454</v>
      </c>
      <c r="BT79" s="904">
        <f>BT56*BU79</f>
        <v>16157484343.450209</v>
      </c>
      <c r="BU79" s="1065">
        <v>0.05</v>
      </c>
      <c r="BV79" s="898" t="s">
        <v>1455</v>
      </c>
      <c r="BW79" s="905"/>
      <c r="BX79" s="255"/>
    </row>
    <row r="80" spans="3:107"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BO80" s="88"/>
      <c r="BP80" s="88"/>
      <c r="BQ80" s="88"/>
      <c r="BR80" s="88"/>
      <c r="BS80" s="940" t="s">
        <v>1326</v>
      </c>
      <c r="BT80" s="904">
        <f>BT56*BU80</f>
        <v>12925987474.760166</v>
      </c>
      <c r="BU80" s="1065">
        <v>0.04</v>
      </c>
      <c r="BV80" s="898" t="s">
        <v>1348</v>
      </c>
      <c r="BW80" s="905"/>
      <c r="BX80" s="251"/>
    </row>
    <row r="81" spans="18:77"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BO81" s="88"/>
      <c r="BP81" s="88"/>
      <c r="BQ81" s="88"/>
      <c r="BR81" s="88"/>
      <c r="BS81" s="940" t="s">
        <v>1298</v>
      </c>
      <c r="BT81" s="930">
        <f>BT56*BU81</f>
        <v>12925987474.760166</v>
      </c>
      <c r="BU81" s="931">
        <v>0.04</v>
      </c>
      <c r="BV81" s="898" t="s">
        <v>1363</v>
      </c>
      <c r="BW81" s="905"/>
      <c r="BX81" s="251"/>
    </row>
    <row r="82" spans="18:77"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BO82" s="88"/>
      <c r="BP82" s="88"/>
      <c r="BQ82" s="88"/>
      <c r="BR82" s="88"/>
      <c r="BS82" s="942"/>
      <c r="BT82" s="1067"/>
      <c r="BU82" s="1068">
        <f>SUM(BU58:BU81)</f>
        <v>0.95804967929439566</v>
      </c>
      <c r="BV82" s="1069"/>
      <c r="BW82" s="1070"/>
      <c r="BX82" s="251"/>
    </row>
    <row r="83" spans="18:77"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BO83" s="88"/>
      <c r="BP83" s="88"/>
      <c r="BQ83" s="88"/>
      <c r="BR83" s="88"/>
      <c r="BS83" s="941" t="s">
        <v>1321</v>
      </c>
      <c r="BT83" s="904">
        <f>BT56*BU83</f>
        <v>13556233000.070343</v>
      </c>
      <c r="BU83" s="1065">
        <f>100%-BU82</f>
        <v>4.1950320705604338E-2</v>
      </c>
      <c r="BV83" s="898" t="s">
        <v>148</v>
      </c>
      <c r="BW83" s="905"/>
      <c r="BX83" s="251"/>
    </row>
    <row r="84" spans="18:77"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BO84" s="88"/>
      <c r="BP84" s="88"/>
      <c r="BQ84" s="88"/>
      <c r="BR84" s="88"/>
      <c r="BS84" s="943" t="s">
        <v>1322</v>
      </c>
      <c r="BT84" s="1071">
        <f>SUM(BT58:BT83)</f>
        <v>323149686869.00415</v>
      </c>
      <c r="BU84" s="1072">
        <f>BU82+BU83</f>
        <v>1</v>
      </c>
      <c r="BV84" s="1073" t="s">
        <v>59</v>
      </c>
      <c r="BW84" s="1074"/>
      <c r="BX84" s="251"/>
    </row>
    <row r="85" spans="18:77" x14ac:dyDescent="0.3">
      <c r="R85" s="88"/>
      <c r="S85" s="88"/>
      <c r="T85" s="88"/>
      <c r="U85" s="88"/>
      <c r="V85" s="88"/>
      <c r="AD85" s="960">
        <f t="shared" si="32"/>
        <v>2027</v>
      </c>
      <c r="AE85" s="691">
        <f t="shared" si="31"/>
        <v>7140375591.7544937</v>
      </c>
      <c r="AF85" s="963">
        <f t="shared" si="28"/>
        <v>2.5000000000000001E-2</v>
      </c>
      <c r="AG85" s="691">
        <f t="shared" si="29"/>
        <v>178509389.79386234</v>
      </c>
      <c r="BO85" s="88"/>
      <c r="BP85" s="88"/>
      <c r="BQ85" s="88"/>
      <c r="BR85" s="88"/>
      <c r="BS85" s="943" t="s">
        <v>1329</v>
      </c>
      <c r="BT85" s="179">
        <f>BT59+BT60+BT61+BT62+BT63</f>
        <v>80787421717.251038</v>
      </c>
      <c r="BU85" s="160"/>
      <c r="BV85" s="160" t="s">
        <v>1364</v>
      </c>
      <c r="BW85" s="303"/>
      <c r="BX85" s="251"/>
    </row>
    <row r="86" spans="18:77" x14ac:dyDescent="0.3">
      <c r="AD86" s="960">
        <f t="shared" si="32"/>
        <v>2028</v>
      </c>
      <c r="AE86" s="691">
        <f t="shared" si="31"/>
        <v>7318884981.5483561</v>
      </c>
      <c r="AF86" s="963">
        <f t="shared" si="28"/>
        <v>2.5000000000000001E-2</v>
      </c>
      <c r="AG86" s="691">
        <f t="shared" si="29"/>
        <v>182972124.53870893</v>
      </c>
      <c r="BO86" s="88"/>
      <c r="BP86" s="88"/>
      <c r="BQ86" s="88"/>
      <c r="BR86" s="88"/>
      <c r="BS86" s="364"/>
      <c r="BT86" s="1075"/>
      <c r="BU86" s="1076"/>
      <c r="BV86" s="1076"/>
      <c r="BW86" s="1077"/>
      <c r="BX86" s="251"/>
    </row>
    <row r="87" spans="18:77" x14ac:dyDescent="0.3">
      <c r="AD87" s="960">
        <f t="shared" si="32"/>
        <v>2029</v>
      </c>
      <c r="AE87" s="691">
        <f t="shared" si="31"/>
        <v>7501857106.0870647</v>
      </c>
      <c r="AF87" s="963">
        <f t="shared" si="28"/>
        <v>2.5000000000000001E-2</v>
      </c>
      <c r="AG87" s="691">
        <f t="shared" si="29"/>
        <v>187546427.65217662</v>
      </c>
      <c r="BO87" s="88"/>
      <c r="BP87" s="88"/>
      <c r="BQ87" s="88"/>
      <c r="BR87" s="88"/>
      <c r="BS87" s="1007" t="s">
        <v>1336</v>
      </c>
      <c r="BT87" s="1066">
        <f>AA72</f>
        <v>82776586287.725723</v>
      </c>
      <c r="BU87" s="251" t="s">
        <v>1335</v>
      </c>
      <c r="BV87" s="251"/>
      <c r="BW87" s="251"/>
      <c r="BX87" s="251"/>
    </row>
    <row r="88" spans="18:77" x14ac:dyDescent="0.3">
      <c r="AD88" s="960">
        <f t="shared" si="32"/>
        <v>2030</v>
      </c>
      <c r="AE88" s="691">
        <f t="shared" si="31"/>
        <v>7689403533.7392416</v>
      </c>
      <c r="AF88" s="963">
        <f t="shared" si="28"/>
        <v>2.5000000000000001E-2</v>
      </c>
      <c r="AG88" s="691">
        <f t="shared" si="29"/>
        <v>192235088.34348106</v>
      </c>
      <c r="BO88" s="88"/>
      <c r="BP88" s="88"/>
      <c r="BQ88" s="88"/>
      <c r="BR88" s="88"/>
      <c r="BS88" s="1008" t="s">
        <v>1337</v>
      </c>
      <c r="BT88" s="1009">
        <f>W72</f>
        <v>1989164570.4746923</v>
      </c>
      <c r="BU88" s="898" t="s">
        <v>1338</v>
      </c>
      <c r="BV88" s="898"/>
      <c r="BW88" s="251"/>
      <c r="BX88" s="251"/>
    </row>
    <row r="89" spans="18:77" x14ac:dyDescent="0.3">
      <c r="AD89" s="960">
        <f t="shared" si="32"/>
        <v>2031</v>
      </c>
      <c r="AE89" s="691">
        <f t="shared" si="31"/>
        <v>7881638622.0827227</v>
      </c>
      <c r="AF89" s="963">
        <f t="shared" si="28"/>
        <v>2.5000000000000001E-2</v>
      </c>
      <c r="AG89" s="691">
        <f t="shared" si="29"/>
        <v>197040965.55206808</v>
      </c>
      <c r="BO89" s="88"/>
      <c r="BP89" s="88"/>
      <c r="BQ89" s="88"/>
      <c r="BR89" s="88"/>
      <c r="BS89" s="106"/>
      <c r="BT89" s="745"/>
      <c r="BU89" s="251"/>
      <c r="BV89" s="251"/>
      <c r="BW89" s="251"/>
      <c r="BX89" s="251"/>
      <c r="BY89" s="252"/>
    </row>
    <row r="90" spans="18:77" x14ac:dyDescent="0.3">
      <c r="AD90" s="960">
        <f t="shared" si="32"/>
        <v>2032</v>
      </c>
      <c r="AE90" s="691">
        <f t="shared" si="31"/>
        <v>8078679587.6347904</v>
      </c>
      <c r="AF90" s="963">
        <f t="shared" si="28"/>
        <v>2.5000000000000001E-2</v>
      </c>
      <c r="AG90" s="691">
        <f t="shared" si="29"/>
        <v>201966989.69086978</v>
      </c>
      <c r="BO90" s="88"/>
      <c r="BP90" s="88"/>
      <c r="BQ90" s="88"/>
      <c r="BR90" s="88"/>
      <c r="BT90" s="999" t="s">
        <v>1355</v>
      </c>
      <c r="BU90" s="252"/>
      <c r="BV90" s="252"/>
      <c r="BW90" s="252"/>
      <c r="BX90" s="252"/>
      <c r="BY90" s="252"/>
    </row>
    <row r="91" spans="18:77" x14ac:dyDescent="0.3">
      <c r="AD91" s="960">
        <f t="shared" si="32"/>
        <v>2033</v>
      </c>
      <c r="AE91" s="691">
        <f t="shared" si="31"/>
        <v>8280646577.3256598</v>
      </c>
      <c r="AF91" s="963">
        <f t="shared" si="28"/>
        <v>2.5000000000000001E-2</v>
      </c>
      <c r="AG91" s="691">
        <f t="shared" si="29"/>
        <v>207016164.4331415</v>
      </c>
      <c r="BO91" s="88"/>
      <c r="BP91" s="88"/>
      <c r="BQ91" s="88"/>
      <c r="BR91" s="88"/>
      <c r="BU91" s="252"/>
      <c r="BV91" s="252"/>
      <c r="BW91" s="252"/>
      <c r="BX91" s="252"/>
      <c r="BY91" s="252"/>
    </row>
    <row r="92" spans="18:77" x14ac:dyDescent="0.3">
      <c r="AD92" s="960">
        <f t="shared" si="32"/>
        <v>2034</v>
      </c>
      <c r="AE92" s="691">
        <f t="shared" si="31"/>
        <v>8487662741.7588015</v>
      </c>
      <c r="AF92" s="963">
        <f t="shared" si="28"/>
        <v>2.5000000000000001E-2</v>
      </c>
      <c r="AG92" s="691">
        <f t="shared" si="29"/>
        <v>212191568.54397005</v>
      </c>
      <c r="BO92" s="88"/>
      <c r="BP92" s="88"/>
      <c r="BQ92" s="88"/>
      <c r="BR92" s="252"/>
      <c r="BU92" s="252"/>
      <c r="BV92" s="252"/>
      <c r="BW92" s="252"/>
      <c r="BX92" s="252"/>
      <c r="BY92" s="252"/>
    </row>
    <row r="93" spans="18:77" x14ac:dyDescent="0.3">
      <c r="AD93" s="960">
        <f t="shared" si="32"/>
        <v>2035</v>
      </c>
      <c r="AE93" s="691">
        <f t="shared" si="31"/>
        <v>8699854310.3027706</v>
      </c>
      <c r="AF93" s="963">
        <f t="shared" si="28"/>
        <v>2.5000000000000001E-2</v>
      </c>
      <c r="AG93" s="691">
        <f t="shared" si="29"/>
        <v>217496357.75756928</v>
      </c>
      <c r="BU93" s="252"/>
      <c r="BV93" s="252"/>
      <c r="BW93" s="252"/>
      <c r="BX93" s="252"/>
      <c r="BY93" s="252"/>
    </row>
    <row r="94" spans="18:77" x14ac:dyDescent="0.3">
      <c r="AD94" s="960">
        <f t="shared" si="32"/>
        <v>2036</v>
      </c>
      <c r="AE94" s="691">
        <f t="shared" si="31"/>
        <v>8917350668.060339</v>
      </c>
      <c r="AF94" s="963">
        <f t="shared" si="28"/>
        <v>2.5000000000000001E-2</v>
      </c>
      <c r="AG94" s="691">
        <f t="shared" si="29"/>
        <v>222933766.70150849</v>
      </c>
      <c r="BU94" s="252"/>
      <c r="BV94" s="252"/>
      <c r="BW94" s="252"/>
      <c r="BX94" s="252"/>
      <c r="BY94" s="252"/>
    </row>
    <row r="95" spans="18:77" x14ac:dyDescent="0.3">
      <c r="AD95" s="960">
        <f t="shared" si="32"/>
        <v>2037</v>
      </c>
      <c r="AE95" s="691">
        <f t="shared" si="31"/>
        <v>9140284434.7618465</v>
      </c>
      <c r="AF95" s="963">
        <f t="shared" si="28"/>
        <v>2.5000000000000001E-2</v>
      </c>
      <c r="AG95" s="691">
        <f t="shared" si="29"/>
        <v>228507110.86904618</v>
      </c>
      <c r="BU95" s="252"/>
      <c r="BV95" s="252"/>
      <c r="BW95" s="252"/>
      <c r="BX95" s="252"/>
      <c r="BY95" s="252"/>
    </row>
    <row r="96" spans="18:77" x14ac:dyDescent="0.3">
      <c r="AD96" s="960">
        <f t="shared" si="32"/>
        <v>2038</v>
      </c>
      <c r="AE96" s="691">
        <f t="shared" si="31"/>
        <v>9368791545.6308918</v>
      </c>
      <c r="AF96" s="963">
        <f t="shared" si="28"/>
        <v>2.5000000000000001E-2</v>
      </c>
      <c r="AG96" s="691">
        <f t="shared" si="29"/>
        <v>234219788.64077231</v>
      </c>
      <c r="BU96" s="252"/>
      <c r="BV96" s="252"/>
      <c r="BW96" s="252"/>
      <c r="BX96" s="252"/>
      <c r="BY96" s="252"/>
    </row>
    <row r="97" spans="30:77" x14ac:dyDescent="0.3">
      <c r="AD97" s="960">
        <f t="shared" si="32"/>
        <v>2039</v>
      </c>
      <c r="AE97" s="691">
        <f t="shared" si="31"/>
        <v>9603011334.2716637</v>
      </c>
      <c r="AF97" s="963">
        <f t="shared" si="28"/>
        <v>2.5000000000000001E-2</v>
      </c>
      <c r="AG97" s="691">
        <f t="shared" si="29"/>
        <v>240075283.35679162</v>
      </c>
      <c r="BU97" s="252"/>
      <c r="BV97" s="252"/>
      <c r="BW97" s="252"/>
      <c r="BX97" s="252"/>
      <c r="BY97" s="252"/>
    </row>
    <row r="98" spans="30:77" x14ac:dyDescent="0.3">
      <c r="AD98" s="960">
        <f t="shared" si="32"/>
        <v>2040</v>
      </c>
      <c r="AE98" s="691">
        <f t="shared" si="31"/>
        <v>9843086617.6284561</v>
      </c>
      <c r="AF98" s="963">
        <f t="shared" si="28"/>
        <v>2.5000000000000001E-2</v>
      </c>
      <c r="AG98" s="691">
        <f t="shared" si="29"/>
        <v>246077165.44071141</v>
      </c>
    </row>
    <row r="99" spans="30:77" x14ac:dyDescent="0.3">
      <c r="AD99" s="960">
        <f t="shared" si="32"/>
        <v>2041</v>
      </c>
      <c r="AE99" s="691">
        <f t="shared" si="31"/>
        <v>10089163783.069168</v>
      </c>
      <c r="AF99" s="963">
        <f t="shared" si="28"/>
        <v>2.5000000000000001E-2</v>
      </c>
      <c r="AG99" s="691">
        <f t="shared" si="29"/>
        <v>252229094.57672921</v>
      </c>
    </row>
    <row r="100" spans="30:77" x14ac:dyDescent="0.3">
      <c r="AD100" s="960">
        <f t="shared" si="32"/>
        <v>2042</v>
      </c>
      <c r="AE100" s="691">
        <f t="shared" si="31"/>
        <v>10341392877.645897</v>
      </c>
      <c r="AF100" s="963">
        <f t="shared" si="28"/>
        <v>2.5000000000000001E-2</v>
      </c>
      <c r="AG100" s="691">
        <f t="shared" si="29"/>
        <v>258534821.94114745</v>
      </c>
    </row>
    <row r="101" spans="30:77" x14ac:dyDescent="0.3">
      <c r="AD101" s="960">
        <f t="shared" si="32"/>
        <v>2043</v>
      </c>
      <c r="AE101" s="691">
        <f t="shared" si="31"/>
        <v>10599927699.587044</v>
      </c>
      <c r="AF101" s="963">
        <f t="shared" si="28"/>
        <v>2.5000000000000001E-2</v>
      </c>
      <c r="AG101" s="691">
        <f t="shared" si="29"/>
        <v>264998192.48967612</v>
      </c>
    </row>
    <row r="102" spans="30:77" x14ac:dyDescent="0.3">
      <c r="AD102" s="960">
        <f t="shared" si="32"/>
        <v>2044</v>
      </c>
      <c r="AE102" s="691">
        <f t="shared" si="31"/>
        <v>10864925892.076719</v>
      </c>
      <c r="AF102" s="963">
        <f t="shared" si="28"/>
        <v>2.5000000000000001E-2</v>
      </c>
      <c r="AG102" s="691">
        <f t="shared" si="29"/>
        <v>271623147.30191797</v>
      </c>
    </row>
    <row r="103" spans="30:77" x14ac:dyDescent="0.3">
      <c r="AD103" s="960">
        <f t="shared" si="32"/>
        <v>2045</v>
      </c>
      <c r="AE103" s="691">
        <f t="shared" si="31"/>
        <v>11136549039.378637</v>
      </c>
      <c r="AF103" s="963">
        <f t="shared" si="28"/>
        <v>2.5000000000000001E-2</v>
      </c>
      <c r="AG103" s="691">
        <f t="shared" si="29"/>
        <v>278413725.98446596</v>
      </c>
    </row>
    <row r="104" spans="30:77" x14ac:dyDescent="0.3">
      <c r="AD104" s="960">
        <f t="shared" si="32"/>
        <v>2046</v>
      </c>
      <c r="AE104" s="691">
        <f t="shared" si="31"/>
        <v>11414962765.363104</v>
      </c>
      <c r="AF104" s="963">
        <f t="shared" si="28"/>
        <v>2.5000000000000001E-2</v>
      </c>
      <c r="AG104" s="691">
        <f t="shared" si="29"/>
        <v>285374069.13407761</v>
      </c>
    </row>
    <row r="105" spans="30:77" x14ac:dyDescent="0.3">
      <c r="AD105" s="960">
        <f t="shared" si="32"/>
        <v>2047</v>
      </c>
      <c r="AE105" s="691">
        <f t="shared" si="31"/>
        <v>11700336834.497181</v>
      </c>
      <c r="AF105" s="963">
        <f t="shared" si="28"/>
        <v>2.5000000000000001E-2</v>
      </c>
      <c r="AG105" s="691">
        <f t="shared" si="29"/>
        <v>292508420.86242956</v>
      </c>
    </row>
    <row r="106" spans="30:77"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E125-77A0-480F-A3FD-FA48E0CE0FA2}">
  <dimension ref="A2:DE106"/>
  <sheetViews>
    <sheetView showGridLines="0" topLeftCell="BQ64" workbookViewId="0">
      <selection activeCell="G7" sqref="G7:DC7"/>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63" width="20.21875" style="1" customWidth="1"/>
    <col min="64" max="64" width="8.88671875" style="1"/>
    <col min="65" max="65" width="21.33203125" style="1" bestFit="1" customWidth="1"/>
    <col min="66" max="66" width="8.88671875" style="1"/>
    <col min="67" max="67" width="19.109375" style="1" bestFit="1" customWidth="1"/>
    <col min="68" max="68" width="8.88671875" style="1"/>
    <col min="69" max="69" width="23.6640625" style="1" customWidth="1"/>
    <col min="70" max="70" width="9.44140625" style="1" bestFit="1" customWidth="1"/>
    <col min="71" max="71" width="36.44140625" style="1" customWidth="1"/>
    <col min="72" max="72" width="28" style="1" bestFit="1" customWidth="1"/>
    <col min="73" max="73" width="11.109375" style="1" bestFit="1" customWidth="1"/>
    <col min="74" max="74" width="22.109375" style="1" customWidth="1"/>
    <col min="75" max="75" width="35.6640625" style="1" customWidth="1"/>
    <col min="76" max="76" width="39.109375" style="1" bestFit="1" customWidth="1"/>
    <col min="77" max="77" width="23.109375" style="1" customWidth="1"/>
    <col min="78" max="78" width="24.21875" style="1" bestFit="1" customWidth="1"/>
    <col min="79" max="79" width="8.88671875" style="1"/>
    <col min="80" max="80" width="21.44140625" style="1" bestFit="1" customWidth="1"/>
    <col min="81" max="81" width="8.88671875" style="1"/>
    <col min="82" max="82" width="9.33203125" style="1" customWidth="1"/>
    <col min="83" max="84" width="8.88671875" style="1"/>
    <col min="85" max="85" width="8.88671875" style="1" customWidth="1"/>
    <col min="86" max="86" width="19.6640625" style="1" customWidth="1"/>
    <col min="87" max="87" width="11.109375" style="1" bestFit="1" customWidth="1"/>
    <col min="88" max="88" width="29.5546875" style="1" bestFit="1" customWidth="1"/>
    <col min="89" max="89" width="8.88671875" style="1"/>
    <col min="90" max="90" width="23.109375" style="1" bestFit="1" customWidth="1"/>
    <col min="91" max="91" width="16.88671875" style="12" customWidth="1"/>
    <col min="92" max="92" width="22.44140625" style="1" bestFit="1" customWidth="1"/>
    <col min="93" max="93" width="7.109375" style="1" customWidth="1"/>
    <col min="94" max="94" width="20.21875" style="1" customWidth="1"/>
    <col min="95" max="95" width="9.109375" style="12" customWidth="1"/>
    <col min="96" max="96" width="19.109375" style="1" bestFit="1" customWidth="1"/>
    <col min="97" max="98" width="8.88671875" style="1"/>
    <col min="99" max="99" width="20.6640625" style="1" customWidth="1"/>
    <col min="100" max="100" width="3.6640625" style="1" customWidth="1"/>
    <col min="101" max="102" width="21.88671875" style="1" customWidth="1"/>
    <col min="103" max="103" width="8" style="1" customWidth="1"/>
    <col min="104" max="104" width="21.44140625" style="1" customWidth="1"/>
    <col min="105" max="105" width="19.109375" style="1" bestFit="1" customWidth="1"/>
    <col min="106" max="106" width="25.33203125" style="690" customWidth="1"/>
    <col min="107" max="107" width="8.88671875" style="12"/>
    <col min="108" max="108" width="8.88671875" style="1"/>
    <col min="109" max="109" width="17.44140625" style="1" bestFit="1" customWidth="1"/>
    <col min="110" max="16384" width="8.88671875" style="1"/>
  </cols>
  <sheetData>
    <row r="2" spans="1:107"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CM2" s="916"/>
      <c r="CQ2" s="916"/>
      <c r="DB2" s="917"/>
      <c r="DC2" s="916"/>
    </row>
    <row r="3" spans="1:107" ht="25.95" customHeight="1" x14ac:dyDescent="0.5">
      <c r="C3" s="570" t="s">
        <v>1446</v>
      </c>
      <c r="F3" s="1081"/>
      <c r="G3" s="648"/>
      <c r="BT3" s="999" t="s">
        <v>1355</v>
      </c>
    </row>
    <row r="4" spans="1:107"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row>
    <row r="5" spans="1:107" ht="18.600000000000001" x14ac:dyDescent="0.45">
      <c r="C5" s="37" t="s">
        <v>972</v>
      </c>
      <c r="D5" s="619"/>
      <c r="E5" s="408">
        <f>E11</f>
        <v>12187147188.337147</v>
      </c>
      <c r="F5" s="1082">
        <v>1</v>
      </c>
      <c r="G5" s="408">
        <f>E5*F5</f>
        <v>12187147188.337147</v>
      </c>
      <c r="H5" s="409">
        <v>1</v>
      </c>
      <c r="I5" s="408">
        <f>G5*H5</f>
        <v>12187147188.337147</v>
      </c>
      <c r="J5" s="409">
        <v>1</v>
      </c>
      <c r="K5" s="408">
        <f>I5*J5</f>
        <v>12187147188.337147</v>
      </c>
      <c r="L5" s="409">
        <f>H5</f>
        <v>1</v>
      </c>
      <c r="M5" s="408">
        <f>K5*L5</f>
        <v>12187147188.337147</v>
      </c>
      <c r="N5" s="409">
        <f>J5</f>
        <v>1</v>
      </c>
      <c r="O5" s="408">
        <f>M5*N5</f>
        <v>12187147188.337147</v>
      </c>
      <c r="P5" s="409">
        <f>L5</f>
        <v>1</v>
      </c>
      <c r="Q5" s="408">
        <f>O5*P5</f>
        <v>12187147188.337147</v>
      </c>
      <c r="R5" s="409">
        <f>N5</f>
        <v>1</v>
      </c>
      <c r="S5" s="408">
        <f>Q5*R5</f>
        <v>12187147188.337147</v>
      </c>
      <c r="T5" s="409">
        <f>P5</f>
        <v>1</v>
      </c>
      <c r="U5" s="408">
        <f>S5*T5</f>
        <v>12187147188.337147</v>
      </c>
      <c r="V5" s="409">
        <f>R5</f>
        <v>1</v>
      </c>
      <c r="W5" s="408">
        <f>U5*V5</f>
        <v>12187147188.337147</v>
      </c>
      <c r="X5" s="409">
        <f>T5</f>
        <v>1</v>
      </c>
      <c r="Y5" s="408">
        <f>W5*X5</f>
        <v>12187147188.337147</v>
      </c>
      <c r="Z5" s="409">
        <f>V5</f>
        <v>1</v>
      </c>
      <c r="AA5" s="408">
        <f>Y5*Z5</f>
        <v>12187147188.337147</v>
      </c>
      <c r="AB5" s="409">
        <f>X5</f>
        <v>1</v>
      </c>
      <c r="AC5" s="408">
        <f>AA5*AB5</f>
        <v>12187147188.337147</v>
      </c>
      <c r="AD5" s="409">
        <f>Z5</f>
        <v>1</v>
      </c>
      <c r="AE5" s="408">
        <f>AC5*AD5</f>
        <v>12187147188.337147</v>
      </c>
      <c r="AF5" s="409">
        <f>AB5</f>
        <v>1</v>
      </c>
      <c r="AG5" s="408">
        <f>AE5*AF5</f>
        <v>12187147188.337147</v>
      </c>
      <c r="AH5" s="409">
        <f>AD5</f>
        <v>1</v>
      </c>
      <c r="AI5" s="408">
        <f>AG5*AH5</f>
        <v>12187147188.337147</v>
      </c>
      <c r="AJ5" s="409">
        <f>AF5</f>
        <v>1</v>
      </c>
      <c r="AK5" s="408">
        <f>AI5*AJ5</f>
        <v>12187147188.337147</v>
      </c>
      <c r="AL5" s="409">
        <f>AH5</f>
        <v>1</v>
      </c>
      <c r="AM5" s="408">
        <f>AK5*AL5</f>
        <v>12187147188.337147</v>
      </c>
      <c r="AN5" s="409">
        <f>AJ5</f>
        <v>1</v>
      </c>
      <c r="AO5" s="408">
        <f>AM5*AN5</f>
        <v>12187147188.337147</v>
      </c>
      <c r="AP5" s="409">
        <f>AL5</f>
        <v>1</v>
      </c>
      <c r="AQ5" s="408">
        <f>AO5*AP5</f>
        <v>12187147188.337147</v>
      </c>
      <c r="AR5" s="409">
        <f>AN5</f>
        <v>1</v>
      </c>
      <c r="AS5" s="408">
        <f>AQ5*AR5</f>
        <v>12187147188.337147</v>
      </c>
      <c r="AT5" s="409">
        <f>AP5</f>
        <v>1</v>
      </c>
      <c r="AU5" s="408">
        <f>AS5*AT5</f>
        <v>12187147188.337147</v>
      </c>
      <c r="AV5" s="409">
        <f>AR5</f>
        <v>1</v>
      </c>
      <c r="AW5" s="408">
        <f>AU5*AV5</f>
        <v>12187147188.337147</v>
      </c>
      <c r="AX5" s="409">
        <f>AT5</f>
        <v>1</v>
      </c>
      <c r="AY5" s="408">
        <f>AW5*AX5</f>
        <v>12187147188.337147</v>
      </c>
      <c r="AZ5" s="409">
        <f>AV5</f>
        <v>1</v>
      </c>
      <c r="BA5" s="408">
        <f>AY5*AZ5</f>
        <v>12187147188.337147</v>
      </c>
      <c r="BB5" s="409">
        <f>AX5</f>
        <v>1</v>
      </c>
      <c r="BC5" s="408">
        <f>BA5*BB5</f>
        <v>12187147188.337147</v>
      </c>
      <c r="BD5" s="409">
        <f>AR5</f>
        <v>1</v>
      </c>
      <c r="BE5" s="408">
        <f>BC5*BD5</f>
        <v>12187147188.337147</v>
      </c>
      <c r="BF5" s="409">
        <f>AT5</f>
        <v>1</v>
      </c>
      <c r="BG5" s="408">
        <f>BE5*BF5</f>
        <v>12187147188.337147</v>
      </c>
      <c r="BH5" s="409">
        <f>BD5</f>
        <v>1</v>
      </c>
      <c r="BI5" s="408">
        <f>BG5*BH5</f>
        <v>12187147188.337147</v>
      </c>
      <c r="BJ5" s="409">
        <f>BF5</f>
        <v>1</v>
      </c>
      <c r="BK5" s="408">
        <f>BI5*BJ5</f>
        <v>12187147188.337147</v>
      </c>
      <c r="BL5" s="409">
        <f>AB5</f>
        <v>1</v>
      </c>
      <c r="BM5" s="408">
        <f>BK5*BL5</f>
        <v>12187147188.337147</v>
      </c>
      <c r="BN5" s="409">
        <f>AD5</f>
        <v>1</v>
      </c>
      <c r="BO5" s="408">
        <f>BM5*BN5</f>
        <v>12187147188.337147</v>
      </c>
      <c r="BP5" s="409">
        <f>BL5</f>
        <v>1</v>
      </c>
      <c r="BQ5" s="408">
        <f>BO5*BP5</f>
        <v>12187147188.337147</v>
      </c>
      <c r="BR5" s="409">
        <f>BN5</f>
        <v>1</v>
      </c>
      <c r="BS5" s="408">
        <f>BQ5*BR5</f>
        <v>12187147188.337147</v>
      </c>
      <c r="BT5" s="719">
        <f>G5+I5+M5+Q5+U5+Y5+AC5+AG5+AK5+AO5+AS5+AW5+BA5+BE5+BI5+BM5+BQ5</f>
        <v>207181502201.73154</v>
      </c>
      <c r="BV5" s="621">
        <f>BP5</f>
        <v>1</v>
      </c>
      <c r="BW5" s="622">
        <f>BS5*BV5</f>
        <v>12187147188.337147</v>
      </c>
      <c r="BX5" s="626"/>
      <c r="BY5" s="626"/>
      <c r="BZ5" s="627"/>
    </row>
    <row r="6" spans="1:107" x14ac:dyDescent="0.3">
      <c r="F6" s="1081"/>
      <c r="BT6" s="93"/>
      <c r="BZ6" s="628"/>
    </row>
    <row r="7" spans="1:107"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462" t="s">
        <v>749</v>
      </c>
      <c r="BM7" s="170" t="s">
        <v>1463</v>
      </c>
      <c r="BN7" s="175" t="s">
        <v>297</v>
      </c>
      <c r="BO7" s="170" t="s">
        <v>59</v>
      </c>
      <c r="BP7" s="301" t="s">
        <v>749</v>
      </c>
      <c r="BQ7" s="121" t="s">
        <v>1464</v>
      </c>
      <c r="BR7" s="173" t="s">
        <v>297</v>
      </c>
      <c r="BS7" s="121" t="s">
        <v>59</v>
      </c>
      <c r="BT7" s="121" t="s">
        <v>1457</v>
      </c>
      <c r="BV7" s="588" t="s">
        <v>1367</v>
      </c>
      <c r="BW7" s="121" t="s">
        <v>1372</v>
      </c>
      <c r="BZ7" s="628"/>
    </row>
    <row r="8" spans="1:107" x14ac:dyDescent="0.3">
      <c r="B8" s="584"/>
      <c r="C8" s="7"/>
      <c r="E8" s="875">
        <f>BT47</f>
        <v>24374294376.674294</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586" t="s">
        <v>1371</v>
      </c>
      <c r="BM8" s="470"/>
      <c r="BN8" s="471"/>
      <c r="BO8" s="470"/>
      <c r="BP8" s="587" t="s">
        <v>1371</v>
      </c>
      <c r="BQ8" s="303"/>
      <c r="BR8" s="179"/>
      <c r="BS8" s="303"/>
      <c r="BT8" s="126"/>
      <c r="BV8" s="589" t="s">
        <v>1371</v>
      </c>
      <c r="BW8" s="303"/>
      <c r="BZ8" s="628"/>
    </row>
    <row r="9" spans="1:107"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122"/>
      <c r="BQ9" s="459" t="s">
        <v>282</v>
      </c>
      <c r="BR9" s="122"/>
      <c r="BS9" s="8"/>
      <c r="BT9" s="126"/>
      <c r="BV9" s="122"/>
      <c r="BW9" s="459" t="s">
        <v>282</v>
      </c>
      <c r="BZ9" s="628"/>
    </row>
    <row r="10" spans="1:107" ht="16.2" thickBot="1" x14ac:dyDescent="0.35">
      <c r="B10" s="585"/>
      <c r="C10" s="1211"/>
      <c r="D10" s="630" t="s">
        <v>953</v>
      </c>
      <c r="E10" s="994">
        <f>BU53</f>
        <v>1024</v>
      </c>
      <c r="F10" s="1085">
        <v>0.25</v>
      </c>
      <c r="G10" s="130">
        <f>E14*F10</f>
        <v>338660705.26298249</v>
      </c>
      <c r="H10" s="460">
        <v>1</v>
      </c>
      <c r="I10" s="130">
        <f>G10*H10</f>
        <v>338660705.26298249</v>
      </c>
      <c r="J10" s="460">
        <v>1</v>
      </c>
      <c r="K10" s="458">
        <f>I10*J10</f>
        <v>338660705.26298249</v>
      </c>
      <c r="L10" s="129">
        <f>H10</f>
        <v>1</v>
      </c>
      <c r="M10" s="458">
        <f>K10*L10</f>
        <v>338660705.26298249</v>
      </c>
      <c r="N10" s="129">
        <f>J10</f>
        <v>1</v>
      </c>
      <c r="O10" s="458">
        <f>M10*N10</f>
        <v>338660705.26298249</v>
      </c>
      <c r="P10" s="129">
        <f>L10</f>
        <v>1</v>
      </c>
      <c r="Q10" s="458">
        <f>O10*P10</f>
        <v>338660705.26298249</v>
      </c>
      <c r="R10" s="129">
        <f>N10</f>
        <v>1</v>
      </c>
      <c r="S10" s="458">
        <f>Q10*R10</f>
        <v>338660705.26298249</v>
      </c>
      <c r="T10" s="129">
        <f>P10</f>
        <v>1</v>
      </c>
      <c r="U10" s="458">
        <f>S10*T10</f>
        <v>338660705.26298249</v>
      </c>
      <c r="V10" s="129">
        <f>R10</f>
        <v>1</v>
      </c>
      <c r="W10" s="458">
        <f>U10*V10</f>
        <v>338660705.26298249</v>
      </c>
      <c r="X10" s="129">
        <f>T10</f>
        <v>1</v>
      </c>
      <c r="Y10" s="458">
        <f>W10*X10</f>
        <v>338660705.26298249</v>
      </c>
      <c r="Z10" s="129">
        <f>V10</f>
        <v>1</v>
      </c>
      <c r="AA10" s="458">
        <f>Y10*Z10</f>
        <v>338660705.26298249</v>
      </c>
      <c r="AB10" s="129">
        <f>X10</f>
        <v>1</v>
      </c>
      <c r="AC10" s="458">
        <f>AA10*AB10</f>
        <v>338660705.26298249</v>
      </c>
      <c r="AD10" s="129">
        <f>Z10</f>
        <v>1</v>
      </c>
      <c r="AE10" s="458">
        <f>AC10*AD10</f>
        <v>338660705.26298249</v>
      </c>
      <c r="AF10" s="129">
        <f>AB10</f>
        <v>1</v>
      </c>
      <c r="AG10" s="458">
        <f>AE10*AF10</f>
        <v>338660705.26298249</v>
      </c>
      <c r="AH10" s="129">
        <f>AD10</f>
        <v>1</v>
      </c>
      <c r="AI10" s="458">
        <f>AG10*AH10</f>
        <v>338660705.26298249</v>
      </c>
      <c r="AJ10" s="129">
        <f>AF10</f>
        <v>1</v>
      </c>
      <c r="AK10" s="458">
        <f>AI10*AJ10</f>
        <v>338660705.26298249</v>
      </c>
      <c r="AL10" s="129">
        <f>AH10</f>
        <v>1</v>
      </c>
      <c r="AM10" s="458">
        <f>AK10*AL10</f>
        <v>338660705.26298249</v>
      </c>
      <c r="AN10" s="129">
        <f>AJ10</f>
        <v>1</v>
      </c>
      <c r="AO10" s="458">
        <f>AM10*AN10</f>
        <v>338660705.26298249</v>
      </c>
      <c r="AP10" s="129">
        <f>AL10</f>
        <v>1</v>
      </c>
      <c r="AQ10" s="458">
        <f>AO10*AP10</f>
        <v>338660705.26298249</v>
      </c>
      <c r="AR10" s="129">
        <f>AN10</f>
        <v>1</v>
      </c>
      <c r="AS10" s="458">
        <f>AQ10*AR10</f>
        <v>338660705.26298249</v>
      </c>
      <c r="AT10" s="129">
        <f>AP10</f>
        <v>1</v>
      </c>
      <c r="AU10" s="458">
        <f>AS10*AT10</f>
        <v>338660705.26298249</v>
      </c>
      <c r="AV10" s="129">
        <f>AR10</f>
        <v>1</v>
      </c>
      <c r="AW10" s="458">
        <f>AU10*AV10</f>
        <v>338660705.26298249</v>
      </c>
      <c r="AX10" s="129">
        <f>AT10</f>
        <v>1</v>
      </c>
      <c r="AY10" s="458">
        <f>AW10*AX10</f>
        <v>338660705.26298249</v>
      </c>
      <c r="AZ10" s="129">
        <f>AV10</f>
        <v>1</v>
      </c>
      <c r="BA10" s="458">
        <f>AY10*AZ10</f>
        <v>338660705.26298249</v>
      </c>
      <c r="BB10" s="129">
        <f>AX10</f>
        <v>1</v>
      </c>
      <c r="BC10" s="458">
        <f>BA10*BB10</f>
        <v>338660705.26298249</v>
      </c>
      <c r="BD10" s="129">
        <f>AR10</f>
        <v>1</v>
      </c>
      <c r="BE10" s="458">
        <f>BC10*BD10</f>
        <v>338660705.26298249</v>
      </c>
      <c r="BF10" s="129">
        <f>AT10</f>
        <v>1</v>
      </c>
      <c r="BG10" s="458">
        <f>BE10*BF10</f>
        <v>338660705.26298249</v>
      </c>
      <c r="BH10" s="129">
        <f>BD10</f>
        <v>1</v>
      </c>
      <c r="BI10" s="458">
        <f>BG10*BH10</f>
        <v>338660705.26298249</v>
      </c>
      <c r="BJ10" s="129">
        <f>BF10</f>
        <v>1</v>
      </c>
      <c r="BK10" s="458">
        <f>BI10*BJ10</f>
        <v>338660705.26298249</v>
      </c>
      <c r="BL10" s="129">
        <f>AB10</f>
        <v>1</v>
      </c>
      <c r="BM10" s="458">
        <f>BK10*BL10</f>
        <v>338660705.26298249</v>
      </c>
      <c r="BN10" s="129">
        <f>AD10</f>
        <v>1</v>
      </c>
      <c r="BO10" s="458">
        <f>BM10*BN10</f>
        <v>338660705.26298249</v>
      </c>
      <c r="BP10" s="129">
        <f>BL10</f>
        <v>1</v>
      </c>
      <c r="BQ10" s="458">
        <f>BO10*BP10</f>
        <v>338660705.26298249</v>
      </c>
      <c r="BR10" s="129">
        <f>BN10</f>
        <v>1</v>
      </c>
      <c r="BS10" s="458">
        <f>BQ10*BR10</f>
        <v>338660705.26298249</v>
      </c>
      <c r="BT10" s="719">
        <f>G10+I10+M10+Q10+U10+Y10+AC10+AG10+AK10+AO10+AS10+AW10+BA10+BE10+BI10+BM10+BQ10</f>
        <v>5757231989.4707012</v>
      </c>
      <c r="BV10" s="590">
        <f>BP10</f>
        <v>1</v>
      </c>
      <c r="BW10" s="458">
        <f>BS10*BV10</f>
        <v>338660705.26298249</v>
      </c>
      <c r="BX10" s="623"/>
      <c r="BY10" s="624"/>
      <c r="BZ10" s="628"/>
    </row>
    <row r="11" spans="1:107" ht="16.2" thickBot="1" x14ac:dyDescent="0.35">
      <c r="B11" s="585"/>
      <c r="C11" s="1078"/>
      <c r="D11" s="630" t="s">
        <v>1291</v>
      </c>
      <c r="E11" s="631">
        <f>E8/2</f>
        <v>12187147188.337147</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122"/>
      <c r="BQ11" s="457" t="s">
        <v>283</v>
      </c>
      <c r="BR11" s="122"/>
      <c r="BS11" s="8"/>
      <c r="BT11" s="126"/>
      <c r="BV11" s="122"/>
      <c r="BW11" s="457" t="s">
        <v>283</v>
      </c>
      <c r="BX11" s="623"/>
      <c r="BY11" s="623"/>
      <c r="BZ11" s="628"/>
    </row>
    <row r="12" spans="1:107" ht="16.2" thickBot="1" x14ac:dyDescent="0.35">
      <c r="B12" s="584"/>
      <c r="E12" s="997">
        <f>E9*E10</f>
        <v>0</v>
      </c>
      <c r="F12" s="1086">
        <v>0.25</v>
      </c>
      <c r="G12" s="135">
        <f>E14*F12</f>
        <v>338660705.26298249</v>
      </c>
      <c r="H12" s="461">
        <v>1</v>
      </c>
      <c r="I12" s="135">
        <f>G12*H12</f>
        <v>338660705.26298249</v>
      </c>
      <c r="J12" s="461">
        <v>1</v>
      </c>
      <c r="K12" s="440">
        <f>I12*J12</f>
        <v>338660705.26298249</v>
      </c>
      <c r="L12" s="133">
        <f>H12</f>
        <v>1</v>
      </c>
      <c r="M12" s="440">
        <f>K12*L12</f>
        <v>338660705.26298249</v>
      </c>
      <c r="N12" s="133">
        <f>J12</f>
        <v>1</v>
      </c>
      <c r="O12" s="440">
        <f>M12*N12</f>
        <v>338660705.26298249</v>
      </c>
      <c r="P12" s="133">
        <f>L12</f>
        <v>1</v>
      </c>
      <c r="Q12" s="440">
        <f>O12*P12</f>
        <v>338660705.26298249</v>
      </c>
      <c r="R12" s="133">
        <f>N12</f>
        <v>1</v>
      </c>
      <c r="S12" s="440">
        <f>Q12*R12</f>
        <v>338660705.26298249</v>
      </c>
      <c r="T12" s="133">
        <f>P12</f>
        <v>1</v>
      </c>
      <c r="U12" s="440">
        <f>S12*T12</f>
        <v>338660705.26298249</v>
      </c>
      <c r="V12" s="133">
        <f>R12</f>
        <v>1</v>
      </c>
      <c r="W12" s="440">
        <f>U12*V12</f>
        <v>338660705.26298249</v>
      </c>
      <c r="X12" s="133">
        <f>T12</f>
        <v>1</v>
      </c>
      <c r="Y12" s="440">
        <f>W12*X12</f>
        <v>338660705.26298249</v>
      </c>
      <c r="Z12" s="133">
        <f>V12</f>
        <v>1</v>
      </c>
      <c r="AA12" s="440">
        <f>Y12*Z12</f>
        <v>338660705.26298249</v>
      </c>
      <c r="AB12" s="133">
        <f>X12</f>
        <v>1</v>
      </c>
      <c r="AC12" s="440">
        <f>AA12*AB12</f>
        <v>338660705.26298249</v>
      </c>
      <c r="AD12" s="133">
        <f>Z12</f>
        <v>1</v>
      </c>
      <c r="AE12" s="440">
        <f>AC12*AD12</f>
        <v>338660705.26298249</v>
      </c>
      <c r="AF12" s="133">
        <f>AB12</f>
        <v>1</v>
      </c>
      <c r="AG12" s="440">
        <f>AE12*AF12</f>
        <v>338660705.26298249</v>
      </c>
      <c r="AH12" s="133">
        <f>AD12</f>
        <v>1</v>
      </c>
      <c r="AI12" s="440">
        <f>AG12*AH12</f>
        <v>338660705.26298249</v>
      </c>
      <c r="AJ12" s="133">
        <f>AF12</f>
        <v>1</v>
      </c>
      <c r="AK12" s="440">
        <f>AI12*AJ12</f>
        <v>338660705.26298249</v>
      </c>
      <c r="AL12" s="133">
        <f>AH12</f>
        <v>1</v>
      </c>
      <c r="AM12" s="440">
        <f>AK12*AL12</f>
        <v>338660705.26298249</v>
      </c>
      <c r="AN12" s="133">
        <f>AJ12</f>
        <v>1</v>
      </c>
      <c r="AO12" s="440">
        <f>AM12*AN12</f>
        <v>338660705.26298249</v>
      </c>
      <c r="AP12" s="133">
        <f>AL12</f>
        <v>1</v>
      </c>
      <c r="AQ12" s="440">
        <f>AO12*AP12</f>
        <v>338660705.26298249</v>
      </c>
      <c r="AR12" s="133">
        <f>AN12</f>
        <v>1</v>
      </c>
      <c r="AS12" s="440">
        <f>AQ12*AR12</f>
        <v>338660705.26298249</v>
      </c>
      <c r="AT12" s="133">
        <f>AP12</f>
        <v>1</v>
      </c>
      <c r="AU12" s="440">
        <f>AS12*AT12</f>
        <v>338660705.26298249</v>
      </c>
      <c r="AV12" s="133">
        <f>AR12</f>
        <v>1</v>
      </c>
      <c r="AW12" s="440">
        <f>AU12*AV12</f>
        <v>338660705.26298249</v>
      </c>
      <c r="AX12" s="133">
        <f>AT12</f>
        <v>1</v>
      </c>
      <c r="AY12" s="440">
        <f>AW12*AX12</f>
        <v>338660705.26298249</v>
      </c>
      <c r="AZ12" s="133">
        <f>AV12</f>
        <v>1</v>
      </c>
      <c r="BA12" s="440">
        <f>AY12*AZ12</f>
        <v>338660705.26298249</v>
      </c>
      <c r="BB12" s="133">
        <f>AX12</f>
        <v>1</v>
      </c>
      <c r="BC12" s="440">
        <f>BA12*BB12</f>
        <v>338660705.26298249</v>
      </c>
      <c r="BD12" s="133">
        <f>AR12</f>
        <v>1</v>
      </c>
      <c r="BE12" s="440">
        <f>BC12*BD12</f>
        <v>338660705.26298249</v>
      </c>
      <c r="BF12" s="133">
        <f>AT12</f>
        <v>1</v>
      </c>
      <c r="BG12" s="440">
        <f>BE12*BF12</f>
        <v>338660705.26298249</v>
      </c>
      <c r="BH12" s="133">
        <f>BD12</f>
        <v>1</v>
      </c>
      <c r="BI12" s="440">
        <f>BG12*BH12</f>
        <v>338660705.26298249</v>
      </c>
      <c r="BJ12" s="133">
        <f>BF12</f>
        <v>1</v>
      </c>
      <c r="BK12" s="440">
        <f>BI12*BJ12</f>
        <v>338660705.26298249</v>
      </c>
      <c r="BL12" s="133">
        <f>AB12</f>
        <v>1</v>
      </c>
      <c r="BM12" s="440">
        <f>BK12*BL12</f>
        <v>338660705.26298249</v>
      </c>
      <c r="BN12" s="133">
        <f>AD12</f>
        <v>1</v>
      </c>
      <c r="BO12" s="440">
        <f>BM12*BN12</f>
        <v>338660705.26298249</v>
      </c>
      <c r="BP12" s="133">
        <f>BL12</f>
        <v>1</v>
      </c>
      <c r="BQ12" s="440">
        <f>BO12*BP12</f>
        <v>338660705.26298249</v>
      </c>
      <c r="BR12" s="133">
        <f>BN12</f>
        <v>1</v>
      </c>
      <c r="BS12" s="440">
        <f>BQ12*BR12</f>
        <v>338660705.26298249</v>
      </c>
      <c r="BT12" s="719">
        <f>G12+I12+M12+Q12+U12+Y12+AC12+AG12+AK12+AO12+AS12+AW12+BA12+BE12+BI12+BM12+BQ12</f>
        <v>5757231989.4707012</v>
      </c>
      <c r="BV12" s="591">
        <f>BP12</f>
        <v>1</v>
      </c>
      <c r="BW12" s="440">
        <f>BS12*BV12</f>
        <v>338660705.26298249</v>
      </c>
      <c r="BX12" s="623"/>
      <c r="BY12" s="624"/>
      <c r="BZ12" s="628"/>
    </row>
    <row r="13" spans="1:107"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122"/>
      <c r="BQ13" s="451" t="s">
        <v>284</v>
      </c>
      <c r="BR13" s="122"/>
      <c r="BS13" s="8"/>
      <c r="BT13" s="126"/>
      <c r="BV13" s="122"/>
      <c r="BW13" s="451" t="s">
        <v>284</v>
      </c>
      <c r="BX13" s="623"/>
      <c r="BY13" s="623"/>
      <c r="BZ13" s="628"/>
    </row>
    <row r="14" spans="1:107" ht="16.2" thickBot="1" x14ac:dyDescent="0.35">
      <c r="A14" s="162"/>
      <c r="B14" s="162"/>
      <c r="C14" s="137" t="s">
        <v>291</v>
      </c>
      <c r="D14" s="1212">
        <v>0.111153397929607</v>
      </c>
      <c r="E14" s="139">
        <f>E11*D14</f>
        <v>1354642821.05193</v>
      </c>
      <c r="F14" s="1088">
        <v>0.5</v>
      </c>
      <c r="G14" s="139">
        <f>E14*F14</f>
        <v>677321410.52596498</v>
      </c>
      <c r="H14" s="463">
        <v>1</v>
      </c>
      <c r="I14" s="139">
        <f>G14*H14</f>
        <v>677321410.52596498</v>
      </c>
      <c r="J14" s="463">
        <v>1</v>
      </c>
      <c r="K14" s="441">
        <f>I14*J14</f>
        <v>677321410.52596498</v>
      </c>
      <c r="L14" s="140">
        <f>H14</f>
        <v>1</v>
      </c>
      <c r="M14" s="441">
        <f>K14*L14</f>
        <v>677321410.52596498</v>
      </c>
      <c r="N14" s="140">
        <f>J14</f>
        <v>1</v>
      </c>
      <c r="O14" s="441">
        <f>M14*N14</f>
        <v>677321410.52596498</v>
      </c>
      <c r="P14" s="140">
        <f>L14</f>
        <v>1</v>
      </c>
      <c r="Q14" s="441">
        <f>O14*P14</f>
        <v>677321410.52596498</v>
      </c>
      <c r="R14" s="140">
        <f>N14</f>
        <v>1</v>
      </c>
      <c r="S14" s="441">
        <f>Q14*R14</f>
        <v>677321410.52596498</v>
      </c>
      <c r="T14" s="140">
        <f>P14</f>
        <v>1</v>
      </c>
      <c r="U14" s="441">
        <f>S14*T14</f>
        <v>677321410.52596498</v>
      </c>
      <c r="V14" s="140">
        <f>R14</f>
        <v>1</v>
      </c>
      <c r="W14" s="441">
        <f>U14*V14</f>
        <v>677321410.52596498</v>
      </c>
      <c r="X14" s="140">
        <f>T14</f>
        <v>1</v>
      </c>
      <c r="Y14" s="441">
        <f>W14*X14</f>
        <v>677321410.52596498</v>
      </c>
      <c r="Z14" s="140">
        <f>V14</f>
        <v>1</v>
      </c>
      <c r="AA14" s="441">
        <f>Y14*Z14</f>
        <v>677321410.52596498</v>
      </c>
      <c r="AB14" s="140">
        <f>X14</f>
        <v>1</v>
      </c>
      <c r="AC14" s="441">
        <f>AA14*AB14</f>
        <v>677321410.52596498</v>
      </c>
      <c r="AD14" s="140">
        <f>Z14</f>
        <v>1</v>
      </c>
      <c r="AE14" s="441">
        <f>AC14*AD14</f>
        <v>677321410.52596498</v>
      </c>
      <c r="AF14" s="140">
        <f>AB14</f>
        <v>1</v>
      </c>
      <c r="AG14" s="441">
        <f>AE14*AF14</f>
        <v>677321410.52596498</v>
      </c>
      <c r="AH14" s="140">
        <f>AD14</f>
        <v>1</v>
      </c>
      <c r="AI14" s="441">
        <f>AG14*AH14</f>
        <v>677321410.52596498</v>
      </c>
      <c r="AJ14" s="140">
        <f>AF14</f>
        <v>1</v>
      </c>
      <c r="AK14" s="441">
        <f>AI14*AJ14</f>
        <v>677321410.52596498</v>
      </c>
      <c r="AL14" s="140">
        <f>AH14</f>
        <v>1</v>
      </c>
      <c r="AM14" s="441">
        <f>AK14*AL14</f>
        <v>677321410.52596498</v>
      </c>
      <c r="AN14" s="140">
        <f>AJ14</f>
        <v>1</v>
      </c>
      <c r="AO14" s="441">
        <f>AM14*AN14</f>
        <v>677321410.52596498</v>
      </c>
      <c r="AP14" s="140">
        <f>AL14</f>
        <v>1</v>
      </c>
      <c r="AQ14" s="441">
        <f>AO14*AP14</f>
        <v>677321410.52596498</v>
      </c>
      <c r="AR14" s="140">
        <f>AN14</f>
        <v>1</v>
      </c>
      <c r="AS14" s="441">
        <f>AQ14*AR14</f>
        <v>677321410.52596498</v>
      </c>
      <c r="AT14" s="140">
        <f>AP14</f>
        <v>1</v>
      </c>
      <c r="AU14" s="441">
        <f>AS14*AT14</f>
        <v>677321410.52596498</v>
      </c>
      <c r="AV14" s="140">
        <f>AR14</f>
        <v>1</v>
      </c>
      <c r="AW14" s="441">
        <f>AU14*AV14</f>
        <v>677321410.52596498</v>
      </c>
      <c r="AX14" s="140">
        <f>AT14</f>
        <v>1</v>
      </c>
      <c r="AY14" s="441">
        <f>AW14*AX14</f>
        <v>677321410.52596498</v>
      </c>
      <c r="AZ14" s="140">
        <f>AV14</f>
        <v>1</v>
      </c>
      <c r="BA14" s="441">
        <f>AY14*AZ14</f>
        <v>677321410.52596498</v>
      </c>
      <c r="BB14" s="140">
        <f>AX14</f>
        <v>1</v>
      </c>
      <c r="BC14" s="441">
        <f>BA14*BB14</f>
        <v>677321410.52596498</v>
      </c>
      <c r="BD14" s="140">
        <f>AR14</f>
        <v>1</v>
      </c>
      <c r="BE14" s="441">
        <f>BC14*BD14</f>
        <v>677321410.52596498</v>
      </c>
      <c r="BF14" s="140">
        <f>AT14</f>
        <v>1</v>
      </c>
      <c r="BG14" s="441">
        <f>BE14*BF14</f>
        <v>677321410.52596498</v>
      </c>
      <c r="BH14" s="140">
        <f>BD14</f>
        <v>1</v>
      </c>
      <c r="BI14" s="441">
        <f>BG14*BH14</f>
        <v>677321410.52596498</v>
      </c>
      <c r="BJ14" s="140">
        <f>BF14</f>
        <v>1</v>
      </c>
      <c r="BK14" s="441">
        <f>BI14*BJ14</f>
        <v>677321410.52596498</v>
      </c>
      <c r="BL14" s="140">
        <f>AB14</f>
        <v>1</v>
      </c>
      <c r="BM14" s="441">
        <f>BK14*BL14</f>
        <v>677321410.52596498</v>
      </c>
      <c r="BN14" s="140">
        <f>AD14</f>
        <v>1</v>
      </c>
      <c r="BO14" s="441">
        <f>BM14*BN14</f>
        <v>677321410.52596498</v>
      </c>
      <c r="BP14" s="140">
        <f>BL14</f>
        <v>1</v>
      </c>
      <c r="BQ14" s="441">
        <f>BO14*BP14</f>
        <v>677321410.52596498</v>
      </c>
      <c r="BR14" s="140">
        <f>BN14</f>
        <v>1</v>
      </c>
      <c r="BS14" s="441">
        <f>BQ14*BR14</f>
        <v>677321410.52596498</v>
      </c>
      <c r="BT14" s="719">
        <f>G14+I14+M14+Q14+U14+Y14+AC14+AG14+AK14+AO14+AS14+AW14+BA14+BE14+BI14+BM14+BQ14</f>
        <v>11514463978.941402</v>
      </c>
      <c r="BV14" s="592">
        <f>BP14</f>
        <v>1</v>
      </c>
      <c r="BW14" s="441">
        <f>BS14*BV14</f>
        <v>677321410.52596498</v>
      </c>
      <c r="BX14" s="623"/>
      <c r="BY14" s="624"/>
      <c r="BZ14" s="628"/>
    </row>
    <row r="15" spans="1:107"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122"/>
      <c r="BQ15" s="8"/>
      <c r="BR15" s="122"/>
      <c r="BS15" s="8"/>
      <c r="BT15" s="126"/>
      <c r="BV15" s="122"/>
      <c r="BW15" s="8"/>
      <c r="BX15" s="623"/>
      <c r="BY15" s="623"/>
      <c r="BZ15" s="628"/>
    </row>
    <row r="16" spans="1:107"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455"/>
      <c r="BQ16" s="454" t="s">
        <v>744</v>
      </c>
      <c r="BR16" s="141"/>
      <c r="BS16" s="164"/>
      <c r="BT16" s="126"/>
      <c r="BV16" s="455"/>
      <c r="BW16" s="454" t="s">
        <v>744</v>
      </c>
      <c r="BX16" s="625"/>
      <c r="BY16" s="625"/>
      <c r="BZ16" s="628"/>
      <c r="CM16" s="233"/>
      <c r="CQ16" s="233"/>
      <c r="DB16" s="345"/>
      <c r="DC16" s="233"/>
    </row>
    <row r="17" spans="1:109" ht="16.2" thickBot="1" x14ac:dyDescent="0.35">
      <c r="A17" s="18"/>
      <c r="B17" s="18"/>
      <c r="C17" s="397" t="s">
        <v>276</v>
      </c>
      <c r="D17" s="1213">
        <f>100%-D14-D21</f>
        <v>0.5625</v>
      </c>
      <c r="E17" s="399">
        <f>E11*D17</f>
        <v>6855270293.4396448</v>
      </c>
      <c r="F17" s="1090">
        <v>1</v>
      </c>
      <c r="G17" s="399">
        <f>E17*F17</f>
        <v>6855270293.4396448</v>
      </c>
      <c r="H17" s="464">
        <v>1</v>
      </c>
      <c r="I17" s="399">
        <f>G17*H17</f>
        <v>6855270293.4396448</v>
      </c>
      <c r="J17" s="464">
        <v>1</v>
      </c>
      <c r="K17" s="453">
        <f>I17*J17</f>
        <v>6855270293.4396448</v>
      </c>
      <c r="L17" s="400">
        <f>H17</f>
        <v>1</v>
      </c>
      <c r="M17" s="453">
        <f>K17*L17</f>
        <v>6855270293.4396448</v>
      </c>
      <c r="N17" s="400">
        <f>J17</f>
        <v>1</v>
      </c>
      <c r="O17" s="453">
        <f>M17*N17</f>
        <v>6855270293.4396448</v>
      </c>
      <c r="P17" s="400">
        <f>L17</f>
        <v>1</v>
      </c>
      <c r="Q17" s="453">
        <f>O17*P17</f>
        <v>6855270293.4396448</v>
      </c>
      <c r="R17" s="400">
        <f>N17</f>
        <v>1</v>
      </c>
      <c r="S17" s="453">
        <f>Q17*R17</f>
        <v>6855270293.4396448</v>
      </c>
      <c r="T17" s="400">
        <f>P17</f>
        <v>1</v>
      </c>
      <c r="U17" s="453">
        <f>S17*T17</f>
        <v>6855270293.4396448</v>
      </c>
      <c r="V17" s="400">
        <f>R17</f>
        <v>1</v>
      </c>
      <c r="W17" s="453">
        <f>U17*V17</f>
        <v>6855270293.4396448</v>
      </c>
      <c r="X17" s="400">
        <f>T17</f>
        <v>1</v>
      </c>
      <c r="Y17" s="453">
        <f>W17*X17</f>
        <v>6855270293.4396448</v>
      </c>
      <c r="Z17" s="400">
        <f>V17</f>
        <v>1</v>
      </c>
      <c r="AA17" s="453">
        <f>Y17*Z17</f>
        <v>6855270293.4396448</v>
      </c>
      <c r="AB17" s="400">
        <f>X17</f>
        <v>1</v>
      </c>
      <c r="AC17" s="453">
        <f>AA17*AB17</f>
        <v>6855270293.4396448</v>
      </c>
      <c r="AD17" s="400">
        <f>Z17</f>
        <v>1</v>
      </c>
      <c r="AE17" s="453">
        <f>AC17*AD17</f>
        <v>6855270293.4396448</v>
      </c>
      <c r="AF17" s="400">
        <f>AB17</f>
        <v>1</v>
      </c>
      <c r="AG17" s="453">
        <f>AE17*AF17</f>
        <v>6855270293.4396448</v>
      </c>
      <c r="AH17" s="400">
        <f>AD17</f>
        <v>1</v>
      </c>
      <c r="AI17" s="453">
        <f>AG17*AH17</f>
        <v>6855270293.4396448</v>
      </c>
      <c r="AJ17" s="400">
        <f>AF17</f>
        <v>1</v>
      </c>
      <c r="AK17" s="453">
        <f>AI17*AJ17</f>
        <v>6855270293.4396448</v>
      </c>
      <c r="AL17" s="400">
        <f>AH17</f>
        <v>1</v>
      </c>
      <c r="AM17" s="453">
        <f>AK17*AL17</f>
        <v>6855270293.4396448</v>
      </c>
      <c r="AN17" s="400">
        <f>AJ17</f>
        <v>1</v>
      </c>
      <c r="AO17" s="453">
        <f>AM17*AN17</f>
        <v>6855270293.4396448</v>
      </c>
      <c r="AP17" s="400">
        <f>AL17</f>
        <v>1</v>
      </c>
      <c r="AQ17" s="453">
        <f>AO17*AP17</f>
        <v>6855270293.4396448</v>
      </c>
      <c r="AR17" s="400">
        <f>AN17</f>
        <v>1</v>
      </c>
      <c r="AS17" s="453">
        <f>AQ17*AR17</f>
        <v>6855270293.4396448</v>
      </c>
      <c r="AT17" s="400">
        <f>AP17</f>
        <v>1</v>
      </c>
      <c r="AU17" s="453">
        <f>AS17*AT17</f>
        <v>6855270293.4396448</v>
      </c>
      <c r="AV17" s="400">
        <f>AR17</f>
        <v>1</v>
      </c>
      <c r="AW17" s="453">
        <f>AU17*AV17</f>
        <v>6855270293.4396448</v>
      </c>
      <c r="AX17" s="400">
        <f>AT17</f>
        <v>1</v>
      </c>
      <c r="AY17" s="453">
        <f>AW17*AX17</f>
        <v>6855270293.4396448</v>
      </c>
      <c r="AZ17" s="400">
        <f>AV17</f>
        <v>1</v>
      </c>
      <c r="BA17" s="453">
        <f>AY17*AZ17</f>
        <v>6855270293.4396448</v>
      </c>
      <c r="BB17" s="400">
        <f>AX17</f>
        <v>1</v>
      </c>
      <c r="BC17" s="453">
        <f>BA17*BB17</f>
        <v>6855270293.4396448</v>
      </c>
      <c r="BD17" s="400">
        <f>AR17</f>
        <v>1</v>
      </c>
      <c r="BE17" s="453">
        <f>BC17*BD17</f>
        <v>6855270293.4396448</v>
      </c>
      <c r="BF17" s="400">
        <f>AT17</f>
        <v>1</v>
      </c>
      <c r="BG17" s="453">
        <f>BE17*BF17</f>
        <v>6855270293.4396448</v>
      </c>
      <c r="BH17" s="400">
        <f>BD17</f>
        <v>1</v>
      </c>
      <c r="BI17" s="453">
        <f>BG17*BH17</f>
        <v>6855270293.4396448</v>
      </c>
      <c r="BJ17" s="400">
        <f>BF17</f>
        <v>1</v>
      </c>
      <c r="BK17" s="453">
        <f>BI17*BJ17</f>
        <v>6855270293.4396448</v>
      </c>
      <c r="BL17" s="400">
        <f>AB17</f>
        <v>1</v>
      </c>
      <c r="BM17" s="453">
        <f>BK17*BL17</f>
        <v>6855270293.4396448</v>
      </c>
      <c r="BN17" s="400">
        <f>AD17</f>
        <v>1</v>
      </c>
      <c r="BO17" s="453">
        <f>BM17*BN17</f>
        <v>6855270293.4396448</v>
      </c>
      <c r="BP17" s="400">
        <f>BL17</f>
        <v>1</v>
      </c>
      <c r="BQ17" s="453">
        <f>BO17*BP17</f>
        <v>6855270293.4396448</v>
      </c>
      <c r="BR17" s="400">
        <f>BN17</f>
        <v>1</v>
      </c>
      <c r="BS17" s="453">
        <f>BQ17*BR17</f>
        <v>6855270293.4396448</v>
      </c>
      <c r="BT17" s="719">
        <f>G17+I17+M17+Q17+U17+Y17+AC17+AG17+AK17+AO17+AS17+AW17+BA17+BE17+BI17+BM17+BQ17</f>
        <v>116539594988.474</v>
      </c>
      <c r="BV17" s="593">
        <f>BP17</f>
        <v>1</v>
      </c>
      <c r="BW17" s="453">
        <f>BS17*BV17</f>
        <v>6855270293.4396448</v>
      </c>
      <c r="BX17" s="623"/>
      <c r="BY17" s="624"/>
      <c r="BZ17" s="628"/>
      <c r="CP17" s="974" t="s">
        <v>872</v>
      </c>
      <c r="CR17" s="974" t="s">
        <v>872</v>
      </c>
      <c r="CU17" s="974" t="s">
        <v>872</v>
      </c>
    </row>
    <row r="18" spans="1:109"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122"/>
      <c r="BQ18" s="8"/>
      <c r="BR18" s="122"/>
      <c r="BS18" s="8"/>
      <c r="BT18" s="126"/>
      <c r="BV18" s="122"/>
      <c r="BW18" s="8"/>
      <c r="BX18" s="623"/>
      <c r="BY18" s="623"/>
      <c r="BZ18" s="628"/>
      <c r="CP18" s="974" t="s">
        <v>5</v>
      </c>
      <c r="CR18" s="974" t="s">
        <v>7</v>
      </c>
      <c r="CU18" s="77" t="s">
        <v>968</v>
      </c>
    </row>
    <row r="19" spans="1:109"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122"/>
      <c r="BQ19" s="8"/>
      <c r="BR19" s="122"/>
      <c r="BS19" s="8"/>
      <c r="BT19" s="126"/>
      <c r="BV19" s="122"/>
      <c r="BW19" s="8"/>
      <c r="BX19" s="623"/>
      <c r="BY19" s="623"/>
      <c r="BZ19" s="628"/>
      <c r="CC19" s="473"/>
      <c r="CD19" s="473"/>
      <c r="CE19" s="473"/>
      <c r="CF19" s="473"/>
      <c r="CG19" s="473"/>
      <c r="CH19" s="473"/>
      <c r="CI19" s="473"/>
      <c r="CJ19" s="473"/>
      <c r="CK19" s="473"/>
      <c r="CL19" s="473"/>
      <c r="CM19" s="970"/>
      <c r="CN19" s="485"/>
      <c r="CO19" s="485"/>
      <c r="CP19" s="485" t="s">
        <v>961</v>
      </c>
      <c r="CQ19" s="485" t="s">
        <v>967</v>
      </c>
      <c r="CR19" s="485" t="s">
        <v>59</v>
      </c>
      <c r="CS19" s="485" t="s">
        <v>1343</v>
      </c>
      <c r="CT19" s="485" t="s">
        <v>1344</v>
      </c>
      <c r="CU19" s="485"/>
      <c r="CV19" s="473"/>
      <c r="CW19" s="485" t="s">
        <v>966</v>
      </c>
      <c r="CX19" s="485" t="s">
        <v>974</v>
      </c>
      <c r="CY19" s="485" t="s">
        <v>965</v>
      </c>
      <c r="CZ19" s="485" t="s">
        <v>965</v>
      </c>
      <c r="DA19" s="485" t="s">
        <v>1345</v>
      </c>
      <c r="DB19" s="305" t="s">
        <v>1286</v>
      </c>
      <c r="DC19" s="304"/>
    </row>
    <row r="20" spans="1:109"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122"/>
      <c r="BQ20" s="450" t="s">
        <v>285</v>
      </c>
      <c r="BR20" s="122"/>
      <c r="BS20" s="8"/>
      <c r="BT20" s="126"/>
      <c r="BV20" s="122"/>
      <c r="BW20" s="450" t="s">
        <v>285</v>
      </c>
      <c r="BX20" s="623"/>
      <c r="BY20" s="623"/>
      <c r="BZ20" s="628"/>
      <c r="CC20" s="473"/>
      <c r="CD20" s="473"/>
      <c r="CE20" s="473"/>
      <c r="CF20" s="473"/>
      <c r="CG20" s="473"/>
      <c r="CH20" s="473"/>
      <c r="CI20" s="473"/>
      <c r="CJ20" s="473"/>
      <c r="CK20" s="473"/>
      <c r="CL20" s="473"/>
      <c r="CM20" s="970"/>
      <c r="CN20" s="485"/>
      <c r="CO20" s="485"/>
      <c r="CP20" s="971">
        <f>'POP Dimensions'!C15</f>
        <v>10737418.24</v>
      </c>
      <c r="CQ20" s="954">
        <v>64</v>
      </c>
      <c r="CR20" s="972">
        <f>CQ20*CP20</f>
        <v>687194767.36000001</v>
      </c>
      <c r="CS20" s="954">
        <v>16</v>
      </c>
      <c r="CT20" s="954"/>
      <c r="CU20" s="971">
        <f>CR20*CS20</f>
        <v>10995116277.76</v>
      </c>
      <c r="CV20" s="473"/>
      <c r="CW20" s="485" t="s">
        <v>785</v>
      </c>
      <c r="CX20" s="485"/>
      <c r="CY20" s="485" t="s">
        <v>962</v>
      </c>
      <c r="CZ20" s="485" t="s">
        <v>1341</v>
      </c>
      <c r="DA20" s="485" t="s">
        <v>1342</v>
      </c>
      <c r="DB20" s="305"/>
      <c r="DC20" s="304"/>
    </row>
    <row r="21" spans="1:109" ht="16.2" thickBot="1" x14ac:dyDescent="0.35">
      <c r="C21" s="149" t="s">
        <v>737</v>
      </c>
      <c r="D21" s="1214">
        <v>0.32634660207039301</v>
      </c>
      <c r="E21" s="151">
        <f>E11*D21</f>
        <v>3977234073.845572</v>
      </c>
      <c r="F21" s="1092">
        <v>0.3</v>
      </c>
      <c r="G21" s="151">
        <f>E21*F21</f>
        <v>1193170222.1536715</v>
      </c>
      <c r="H21" s="465">
        <v>1</v>
      </c>
      <c r="I21" s="151">
        <f>G21*H21</f>
        <v>1193170222.1536715</v>
      </c>
      <c r="J21" s="465">
        <v>1</v>
      </c>
      <c r="K21" s="444">
        <f>I21*J21</f>
        <v>1193170222.1536715</v>
      </c>
      <c r="L21" s="152">
        <f>H21</f>
        <v>1</v>
      </c>
      <c r="M21" s="444">
        <f>K21*L21</f>
        <v>1193170222.1536715</v>
      </c>
      <c r="N21" s="152">
        <f>J21</f>
        <v>1</v>
      </c>
      <c r="O21" s="444">
        <f>M21*N21</f>
        <v>1193170222.1536715</v>
      </c>
      <c r="P21" s="152">
        <f>L21</f>
        <v>1</v>
      </c>
      <c r="Q21" s="444">
        <f>O21*P21</f>
        <v>1193170222.1536715</v>
      </c>
      <c r="R21" s="152">
        <f>N21</f>
        <v>1</v>
      </c>
      <c r="S21" s="444">
        <f>Q21*R21</f>
        <v>1193170222.1536715</v>
      </c>
      <c r="T21" s="152">
        <f>P21</f>
        <v>1</v>
      </c>
      <c r="U21" s="444">
        <f>S21*T21</f>
        <v>1193170222.1536715</v>
      </c>
      <c r="V21" s="152">
        <f>R21</f>
        <v>1</v>
      </c>
      <c r="W21" s="444">
        <f>U21*V21</f>
        <v>1193170222.1536715</v>
      </c>
      <c r="X21" s="152">
        <f>T21</f>
        <v>1</v>
      </c>
      <c r="Y21" s="444">
        <f>W21*X21</f>
        <v>1193170222.1536715</v>
      </c>
      <c r="Z21" s="152">
        <f>V21</f>
        <v>1</v>
      </c>
      <c r="AA21" s="444">
        <f>Y21*Z21</f>
        <v>1193170222.1536715</v>
      </c>
      <c r="AB21" s="152">
        <f>X21</f>
        <v>1</v>
      </c>
      <c r="AC21" s="444">
        <f>AA21*AB21</f>
        <v>1193170222.1536715</v>
      </c>
      <c r="AD21" s="152">
        <f>Z21</f>
        <v>1</v>
      </c>
      <c r="AE21" s="444">
        <f>AC21*AD21</f>
        <v>1193170222.1536715</v>
      </c>
      <c r="AF21" s="152">
        <f>AB21</f>
        <v>1</v>
      </c>
      <c r="AG21" s="444">
        <f>AE21*AF21</f>
        <v>1193170222.1536715</v>
      </c>
      <c r="AH21" s="152">
        <f>AD21</f>
        <v>1</v>
      </c>
      <c r="AI21" s="444">
        <f>AG21*AH21</f>
        <v>1193170222.1536715</v>
      </c>
      <c r="AJ21" s="152">
        <f>AF21</f>
        <v>1</v>
      </c>
      <c r="AK21" s="444">
        <f>AI21*AJ21</f>
        <v>1193170222.1536715</v>
      </c>
      <c r="AL21" s="152">
        <f>AH21</f>
        <v>1</v>
      </c>
      <c r="AM21" s="444">
        <f>AK21*AL21</f>
        <v>1193170222.1536715</v>
      </c>
      <c r="AN21" s="152">
        <f>AJ21</f>
        <v>1</v>
      </c>
      <c r="AO21" s="444">
        <f>AM21*AN21</f>
        <v>1193170222.1536715</v>
      </c>
      <c r="AP21" s="152">
        <f>AL21</f>
        <v>1</v>
      </c>
      <c r="AQ21" s="444">
        <f>AO21*AP21</f>
        <v>1193170222.1536715</v>
      </c>
      <c r="AR21" s="152">
        <f>AN21</f>
        <v>1</v>
      </c>
      <c r="AS21" s="444">
        <f>AQ21*AR21</f>
        <v>1193170222.1536715</v>
      </c>
      <c r="AT21" s="152">
        <f>AP21</f>
        <v>1</v>
      </c>
      <c r="AU21" s="444">
        <f>AS21*AT21</f>
        <v>1193170222.1536715</v>
      </c>
      <c r="AV21" s="152">
        <f>AR21</f>
        <v>1</v>
      </c>
      <c r="AW21" s="444">
        <f>AU21*AV21</f>
        <v>1193170222.1536715</v>
      </c>
      <c r="AX21" s="152">
        <f>AT21</f>
        <v>1</v>
      </c>
      <c r="AY21" s="444">
        <f>AW21*AX21</f>
        <v>1193170222.1536715</v>
      </c>
      <c r="AZ21" s="152">
        <f>AV21</f>
        <v>1</v>
      </c>
      <c r="BA21" s="444">
        <f>AY21*AZ21</f>
        <v>1193170222.1536715</v>
      </c>
      <c r="BB21" s="152">
        <f>AX21</f>
        <v>1</v>
      </c>
      <c r="BC21" s="444">
        <f>BA21*BB21</f>
        <v>1193170222.1536715</v>
      </c>
      <c r="BD21" s="152">
        <f>AR21</f>
        <v>1</v>
      </c>
      <c r="BE21" s="444">
        <f>BC21*BD21</f>
        <v>1193170222.1536715</v>
      </c>
      <c r="BF21" s="152">
        <f>AT21</f>
        <v>1</v>
      </c>
      <c r="BG21" s="444">
        <f>BE21*BF21</f>
        <v>1193170222.1536715</v>
      </c>
      <c r="BH21" s="152">
        <f>BD21</f>
        <v>1</v>
      </c>
      <c r="BI21" s="444">
        <f>BG21*BH21</f>
        <v>1193170222.1536715</v>
      </c>
      <c r="BJ21" s="152">
        <f>BF21</f>
        <v>1</v>
      </c>
      <c r="BK21" s="444">
        <f>BI21*BJ21</f>
        <v>1193170222.1536715</v>
      </c>
      <c r="BL21" s="152">
        <f>AB21</f>
        <v>1</v>
      </c>
      <c r="BM21" s="444">
        <f>BK21*BL21</f>
        <v>1193170222.1536715</v>
      </c>
      <c r="BN21" s="152">
        <f>AD21</f>
        <v>1</v>
      </c>
      <c r="BO21" s="444">
        <f>BM21*BN21</f>
        <v>1193170222.1536715</v>
      </c>
      <c r="BP21" s="152">
        <f>BL21</f>
        <v>1</v>
      </c>
      <c r="BQ21" s="444">
        <f>BO21*BP21</f>
        <v>1193170222.1536715</v>
      </c>
      <c r="BR21" s="152">
        <f>BN21</f>
        <v>1</v>
      </c>
      <c r="BS21" s="444">
        <f>BQ21*BR21</f>
        <v>1193170222.1536715</v>
      </c>
      <c r="BT21" s="719">
        <f>G21+I21+M21+Q21+U21+Y21+AC21+AG21+AK21+AO21+AS21+AW21+BA21+BE21+BI21+BM21+BQ21</f>
        <v>20283893776.612415</v>
      </c>
      <c r="BV21" s="594">
        <f>BP21</f>
        <v>1</v>
      </c>
      <c r="BW21" s="444">
        <f>BS21*BV21</f>
        <v>1193170222.1536715</v>
      </c>
      <c r="BX21" s="623"/>
      <c r="BY21" s="624"/>
      <c r="BZ21" s="628"/>
      <c r="CC21" s="473"/>
      <c r="CS21" s="976"/>
      <c r="CT21" s="976"/>
      <c r="DC21" s="913"/>
    </row>
    <row r="22" spans="1:109"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437"/>
      <c r="BQ22" s="449" t="s">
        <v>738</v>
      </c>
      <c r="BR22" s="433"/>
      <c r="BS22" s="434"/>
      <c r="BT22" s="180"/>
      <c r="BV22" s="437"/>
      <c r="BW22" s="449" t="s">
        <v>738</v>
      </c>
      <c r="BX22" s="623"/>
      <c r="BY22" s="623"/>
      <c r="BZ22" s="628"/>
      <c r="CC22" s="473"/>
      <c r="CJ22" s="1" t="s">
        <v>955</v>
      </c>
      <c r="CN22" s="581" t="s">
        <v>964</v>
      </c>
      <c r="CO22" s="75"/>
      <c r="CP22" s="75"/>
      <c r="CQ22" s="986"/>
      <c r="CR22" s="896"/>
      <c r="CS22" s="980"/>
      <c r="CT22" s="980"/>
      <c r="CU22" s="75"/>
      <c r="CW22" s="75"/>
      <c r="CX22" s="76"/>
      <c r="CY22" s="75"/>
      <c r="CZ22" s="76">
        <f>CZ31</f>
        <v>1372242051.072</v>
      </c>
      <c r="DA22" s="75"/>
      <c r="DB22" s="910"/>
      <c r="DC22" s="304"/>
    </row>
    <row r="23" spans="1:109" ht="16.2" thickBot="1" x14ac:dyDescent="0.35">
      <c r="C23" s="141"/>
      <c r="D23" s="94">
        <f>SUM(D14:D21)</f>
        <v>1</v>
      </c>
      <c r="E23" s="371"/>
      <c r="F23" s="1093">
        <v>0.25</v>
      </c>
      <c r="G23" s="432">
        <f>E21*F23</f>
        <v>994308518.461393</v>
      </c>
      <c r="H23" s="466">
        <v>1</v>
      </c>
      <c r="I23" s="432">
        <f>G23*H23</f>
        <v>994308518.461393</v>
      </c>
      <c r="J23" s="466">
        <v>1</v>
      </c>
      <c r="K23" s="449">
        <f>I23*J23</f>
        <v>994308518.461393</v>
      </c>
      <c r="L23" s="430">
        <f>H23</f>
        <v>1</v>
      </c>
      <c r="M23" s="449">
        <f>K23*L23</f>
        <v>994308518.461393</v>
      </c>
      <c r="N23" s="430">
        <f>J23</f>
        <v>1</v>
      </c>
      <c r="O23" s="449">
        <f>M23*N23</f>
        <v>994308518.461393</v>
      </c>
      <c r="P23" s="430">
        <f>L23</f>
        <v>1</v>
      </c>
      <c r="Q23" s="449">
        <f>O23*P23</f>
        <v>994308518.461393</v>
      </c>
      <c r="R23" s="430">
        <f>N23</f>
        <v>1</v>
      </c>
      <c r="S23" s="449">
        <f>Q23*R23</f>
        <v>994308518.461393</v>
      </c>
      <c r="T23" s="430">
        <f>P23</f>
        <v>1</v>
      </c>
      <c r="U23" s="449">
        <f>S23*T23</f>
        <v>994308518.461393</v>
      </c>
      <c r="V23" s="430">
        <f>R23</f>
        <v>1</v>
      </c>
      <c r="W23" s="449">
        <f>U23*V23</f>
        <v>994308518.461393</v>
      </c>
      <c r="X23" s="430">
        <f>T23</f>
        <v>1</v>
      </c>
      <c r="Y23" s="449">
        <f>W23*X23</f>
        <v>994308518.461393</v>
      </c>
      <c r="Z23" s="430">
        <f>V23</f>
        <v>1</v>
      </c>
      <c r="AA23" s="449">
        <f>Y23*Z23</f>
        <v>994308518.461393</v>
      </c>
      <c r="AB23" s="430">
        <f>X23</f>
        <v>1</v>
      </c>
      <c r="AC23" s="449">
        <f>AA23*AB23</f>
        <v>994308518.461393</v>
      </c>
      <c r="AD23" s="430">
        <f>Z23</f>
        <v>1</v>
      </c>
      <c r="AE23" s="449">
        <f>AC23*AD23</f>
        <v>994308518.461393</v>
      </c>
      <c r="AF23" s="430">
        <f>AB23</f>
        <v>1</v>
      </c>
      <c r="AG23" s="449">
        <f>AE23*AF23</f>
        <v>994308518.461393</v>
      </c>
      <c r="AH23" s="430">
        <f>AD23</f>
        <v>1</v>
      </c>
      <c r="AI23" s="449">
        <f>AG23*AH23</f>
        <v>994308518.461393</v>
      </c>
      <c r="AJ23" s="430">
        <f>AF23</f>
        <v>1</v>
      </c>
      <c r="AK23" s="449">
        <f>AI23*AJ23</f>
        <v>994308518.461393</v>
      </c>
      <c r="AL23" s="430">
        <f>AH23</f>
        <v>1</v>
      </c>
      <c r="AM23" s="449">
        <f>AK23*AL23</f>
        <v>994308518.461393</v>
      </c>
      <c r="AN23" s="430">
        <f>AJ23</f>
        <v>1</v>
      </c>
      <c r="AO23" s="449">
        <f>AM23*AN23</f>
        <v>994308518.461393</v>
      </c>
      <c r="AP23" s="430">
        <f>AL23</f>
        <v>1</v>
      </c>
      <c r="AQ23" s="449">
        <f>AO23*AP23</f>
        <v>994308518.461393</v>
      </c>
      <c r="AR23" s="430">
        <f>AN23</f>
        <v>1</v>
      </c>
      <c r="AS23" s="449">
        <f>AQ23*AR23</f>
        <v>994308518.461393</v>
      </c>
      <c r="AT23" s="430">
        <f>AP23</f>
        <v>1</v>
      </c>
      <c r="AU23" s="449">
        <f>AS23*AT23</f>
        <v>994308518.461393</v>
      </c>
      <c r="AV23" s="430">
        <f>AR23</f>
        <v>1</v>
      </c>
      <c r="AW23" s="449">
        <f>AU23*AV23</f>
        <v>994308518.461393</v>
      </c>
      <c r="AX23" s="430">
        <f>AT23</f>
        <v>1</v>
      </c>
      <c r="AY23" s="449">
        <f>AW23*AX23</f>
        <v>994308518.461393</v>
      </c>
      <c r="AZ23" s="430">
        <f>AV23</f>
        <v>1</v>
      </c>
      <c r="BA23" s="449">
        <f>AY23*AZ23</f>
        <v>994308518.461393</v>
      </c>
      <c r="BB23" s="430">
        <f>AX23</f>
        <v>1</v>
      </c>
      <c r="BC23" s="449">
        <f>BA23*BB23</f>
        <v>994308518.461393</v>
      </c>
      <c r="BD23" s="430">
        <f>AR23</f>
        <v>1</v>
      </c>
      <c r="BE23" s="449">
        <f>BC23*BD23</f>
        <v>994308518.461393</v>
      </c>
      <c r="BF23" s="430">
        <f>AT23</f>
        <v>1</v>
      </c>
      <c r="BG23" s="449">
        <f>BE23*BF23</f>
        <v>994308518.461393</v>
      </c>
      <c r="BH23" s="430">
        <f>BD23</f>
        <v>1</v>
      </c>
      <c r="BI23" s="449">
        <f>BG23*BH23</f>
        <v>994308518.461393</v>
      </c>
      <c r="BJ23" s="430">
        <f>BF23</f>
        <v>1</v>
      </c>
      <c r="BK23" s="449">
        <f>BI23*BJ23</f>
        <v>994308518.461393</v>
      </c>
      <c r="BL23" s="430">
        <f>AB23</f>
        <v>1</v>
      </c>
      <c r="BM23" s="449">
        <f>BK23*BL23</f>
        <v>994308518.461393</v>
      </c>
      <c r="BN23" s="430">
        <f>AD23</f>
        <v>1</v>
      </c>
      <c r="BO23" s="449">
        <f>BM23*BN23</f>
        <v>994308518.461393</v>
      </c>
      <c r="BP23" s="430">
        <f>BL23</f>
        <v>1</v>
      </c>
      <c r="BQ23" s="449">
        <f>BO23*BP23</f>
        <v>994308518.461393</v>
      </c>
      <c r="BR23" s="430">
        <f>BN23</f>
        <v>1</v>
      </c>
      <c r="BS23" s="449">
        <f>BQ23*BR23</f>
        <v>994308518.461393</v>
      </c>
      <c r="BT23" s="719">
        <f>G23+I23+M23+Q23+U23+Y23+AC23+AG23+AK23+AO23+AS23+AW23+BA23+BE23+BI23+BM23+BQ23</f>
        <v>16903244813.843685</v>
      </c>
      <c r="BV23" s="595">
        <f>BP23</f>
        <v>1</v>
      </c>
      <c r="BW23" s="449">
        <f>BS23*BV23</f>
        <v>994308518.461393</v>
      </c>
      <c r="BX23" s="623"/>
      <c r="BY23" s="624"/>
      <c r="BZ23" s="628"/>
      <c r="CC23" s="473"/>
      <c r="CH23" s="982" t="s">
        <v>989</v>
      </c>
      <c r="CI23" s="983">
        <v>2016</v>
      </c>
      <c r="CJ23" s="910">
        <v>75543543000000</v>
      </c>
      <c r="CK23" s="984">
        <v>2.5000000000000001E-2</v>
      </c>
      <c r="CL23" s="910">
        <f>CJ23*CK23</f>
        <v>1888588575000</v>
      </c>
      <c r="CN23" s="75"/>
      <c r="CO23" s="968">
        <v>2016</v>
      </c>
      <c r="CP23" s="305">
        <f>CP20</f>
        <v>10737418.24</v>
      </c>
      <c r="CQ23" s="986">
        <v>64</v>
      </c>
      <c r="CR23" s="411">
        <f t="shared" ref="CR23:CR35" si="0">CQ23*CP23</f>
        <v>687194767.36000001</v>
      </c>
      <c r="CS23" s="980"/>
      <c r="CT23" s="980"/>
      <c r="CU23" s="305">
        <f t="shared" ref="CU23:CU35" si="1">CR23*CS23</f>
        <v>0</v>
      </c>
      <c r="CW23" s="75"/>
      <c r="CX23" s="76"/>
      <c r="CY23" s="75"/>
      <c r="CZ23" s="953">
        <v>25000</v>
      </c>
      <c r="DA23" s="968" t="s">
        <v>1349</v>
      </c>
      <c r="DB23" s="910"/>
      <c r="DC23" s="981">
        <v>2016</v>
      </c>
    </row>
    <row r="24" spans="1:109"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122"/>
      <c r="BQ24" s="448" t="s">
        <v>294</v>
      </c>
      <c r="BR24" s="122"/>
      <c r="BS24" s="8"/>
      <c r="BT24" s="126"/>
      <c r="BV24" s="122"/>
      <c r="BW24" s="448" t="s">
        <v>294</v>
      </c>
      <c r="BX24" s="623"/>
      <c r="BY24" s="623"/>
      <c r="BZ24" s="628"/>
      <c r="CC24" s="473"/>
      <c r="CH24" s="982" t="s">
        <v>989</v>
      </c>
      <c r="CI24" s="983">
        <f>CI23+1</f>
        <v>2017</v>
      </c>
      <c r="CJ24" s="910">
        <f>CJ23+CL23</f>
        <v>77432131575000</v>
      </c>
      <c r="CK24" s="985">
        <f>CK23</f>
        <v>2.5000000000000001E-2</v>
      </c>
      <c r="CL24" s="910">
        <f>CJ24*CK24</f>
        <v>1935803289375</v>
      </c>
      <c r="CN24" s="75"/>
      <c r="CO24" s="968">
        <f>CO23+1</f>
        <v>2017</v>
      </c>
      <c r="CP24" s="305">
        <f>CP20</f>
        <v>10737418.24</v>
      </c>
      <c r="CQ24" s="986">
        <v>64</v>
      </c>
      <c r="CR24" s="411">
        <f t="shared" si="0"/>
        <v>687194767.36000001</v>
      </c>
      <c r="CS24" s="980"/>
      <c r="CT24" s="980"/>
      <c r="CU24" s="305">
        <f t="shared" si="1"/>
        <v>0</v>
      </c>
      <c r="CW24" s="75"/>
      <c r="CX24" s="76"/>
      <c r="CY24" s="75"/>
      <c r="CZ24" s="76">
        <f>CZ22/CZ23</f>
        <v>54889.682042879998</v>
      </c>
      <c r="DA24" s="75"/>
      <c r="DB24" s="910"/>
      <c r="DC24" s="981">
        <f>DC23+1</f>
        <v>2017</v>
      </c>
    </row>
    <row r="25" spans="1:109" ht="16.2" thickBot="1" x14ac:dyDescent="0.35">
      <c r="C25" s="122"/>
      <c r="D25" s="573" t="s">
        <v>1367</v>
      </c>
      <c r="E25" s="7"/>
      <c r="F25" s="1094">
        <v>0.2</v>
      </c>
      <c r="G25" s="99">
        <f>E21*F25</f>
        <v>795446814.76911449</v>
      </c>
      <c r="H25" s="467">
        <v>1</v>
      </c>
      <c r="I25" s="99">
        <f>G25*H25</f>
        <v>795446814.76911449</v>
      </c>
      <c r="J25" s="467">
        <v>1</v>
      </c>
      <c r="K25" s="443">
        <f>I25*J25</f>
        <v>795446814.76911449</v>
      </c>
      <c r="L25" s="153">
        <f>H25</f>
        <v>1</v>
      </c>
      <c r="M25" s="443">
        <f>K25*L25</f>
        <v>795446814.76911449</v>
      </c>
      <c r="N25" s="153">
        <f>J25</f>
        <v>1</v>
      </c>
      <c r="O25" s="443">
        <f>M25*N25</f>
        <v>795446814.76911449</v>
      </c>
      <c r="P25" s="153">
        <f>L25</f>
        <v>1</v>
      </c>
      <c r="Q25" s="443">
        <f>O25*P25</f>
        <v>795446814.76911449</v>
      </c>
      <c r="R25" s="153">
        <f>N25</f>
        <v>1</v>
      </c>
      <c r="S25" s="443">
        <f>Q25*R25</f>
        <v>795446814.76911449</v>
      </c>
      <c r="T25" s="153">
        <f>P25</f>
        <v>1</v>
      </c>
      <c r="U25" s="443">
        <f>S25*T25</f>
        <v>795446814.76911449</v>
      </c>
      <c r="V25" s="153">
        <f>R25</f>
        <v>1</v>
      </c>
      <c r="W25" s="443">
        <f>U25*V25</f>
        <v>795446814.76911449</v>
      </c>
      <c r="X25" s="153">
        <f>T25</f>
        <v>1</v>
      </c>
      <c r="Y25" s="443">
        <f>W25*X25</f>
        <v>795446814.76911449</v>
      </c>
      <c r="Z25" s="153">
        <f>V25</f>
        <v>1</v>
      </c>
      <c r="AA25" s="443">
        <f>Y25*Z25</f>
        <v>795446814.76911449</v>
      </c>
      <c r="AB25" s="153">
        <f>X25</f>
        <v>1</v>
      </c>
      <c r="AC25" s="443">
        <f>AA25*AB25</f>
        <v>795446814.76911449</v>
      </c>
      <c r="AD25" s="153">
        <f>Z25</f>
        <v>1</v>
      </c>
      <c r="AE25" s="443">
        <f>AC25*AD25</f>
        <v>795446814.76911449</v>
      </c>
      <c r="AF25" s="153">
        <f>AB25</f>
        <v>1</v>
      </c>
      <c r="AG25" s="443">
        <f>AE25*AF25</f>
        <v>795446814.76911449</v>
      </c>
      <c r="AH25" s="153">
        <f>AD25</f>
        <v>1</v>
      </c>
      <c r="AI25" s="443">
        <f>AG25*AH25</f>
        <v>795446814.76911449</v>
      </c>
      <c r="AJ25" s="153">
        <f>AF25</f>
        <v>1</v>
      </c>
      <c r="AK25" s="443">
        <f>AI25*AJ25</f>
        <v>795446814.76911449</v>
      </c>
      <c r="AL25" s="153">
        <f>AH25</f>
        <v>1</v>
      </c>
      <c r="AM25" s="443">
        <f>AK25*AL25</f>
        <v>795446814.76911449</v>
      </c>
      <c r="AN25" s="153">
        <f>AJ25</f>
        <v>1</v>
      </c>
      <c r="AO25" s="443">
        <f>AM25*AN25</f>
        <v>795446814.76911449</v>
      </c>
      <c r="AP25" s="153">
        <f>AL25</f>
        <v>1</v>
      </c>
      <c r="AQ25" s="443">
        <f>AO25*AP25</f>
        <v>795446814.76911449</v>
      </c>
      <c r="AR25" s="153">
        <f>AN25</f>
        <v>1</v>
      </c>
      <c r="AS25" s="443">
        <f>AQ25*AR25</f>
        <v>795446814.76911449</v>
      </c>
      <c r="AT25" s="153">
        <f>AP25</f>
        <v>1</v>
      </c>
      <c r="AU25" s="443">
        <f>AS25*AT25</f>
        <v>795446814.76911449</v>
      </c>
      <c r="AV25" s="153">
        <f>AR25</f>
        <v>1</v>
      </c>
      <c r="AW25" s="443">
        <f>AU25*AV25</f>
        <v>795446814.76911449</v>
      </c>
      <c r="AX25" s="153">
        <f>AT25</f>
        <v>1</v>
      </c>
      <c r="AY25" s="443">
        <f>AW25*AX25</f>
        <v>795446814.76911449</v>
      </c>
      <c r="AZ25" s="153">
        <f>AV25</f>
        <v>1</v>
      </c>
      <c r="BA25" s="443">
        <f>AY25*AZ25</f>
        <v>795446814.76911449</v>
      </c>
      <c r="BB25" s="153">
        <f>AX25</f>
        <v>1</v>
      </c>
      <c r="BC25" s="443">
        <f>BA25*BB25</f>
        <v>795446814.76911449</v>
      </c>
      <c r="BD25" s="153">
        <f>AR25</f>
        <v>1</v>
      </c>
      <c r="BE25" s="443">
        <f>BC25*BD25</f>
        <v>795446814.76911449</v>
      </c>
      <c r="BF25" s="153">
        <f>AT25</f>
        <v>1</v>
      </c>
      <c r="BG25" s="443">
        <f>BE25*BF25</f>
        <v>795446814.76911449</v>
      </c>
      <c r="BH25" s="153">
        <f>BD25</f>
        <v>1</v>
      </c>
      <c r="BI25" s="443">
        <f>BG25*BH25</f>
        <v>795446814.76911449</v>
      </c>
      <c r="BJ25" s="153">
        <f>BF25</f>
        <v>1</v>
      </c>
      <c r="BK25" s="443">
        <f>BI25*BJ25</f>
        <v>795446814.76911449</v>
      </c>
      <c r="BL25" s="153">
        <f>AB25</f>
        <v>1</v>
      </c>
      <c r="BM25" s="443">
        <f>BK25*BL25</f>
        <v>795446814.76911449</v>
      </c>
      <c r="BN25" s="153">
        <f>AD25</f>
        <v>1</v>
      </c>
      <c r="BO25" s="443">
        <f>BM25*BN25</f>
        <v>795446814.76911449</v>
      </c>
      <c r="BP25" s="153">
        <f>BL25</f>
        <v>1</v>
      </c>
      <c r="BQ25" s="443">
        <f>BO25*BP25</f>
        <v>795446814.76911449</v>
      </c>
      <c r="BR25" s="153">
        <f>BN25</f>
        <v>1</v>
      </c>
      <c r="BS25" s="443">
        <f>BQ25*BR25</f>
        <v>795446814.76911449</v>
      </c>
      <c r="BT25" s="719">
        <f>G25+I25+M25+Q25+U25+Y25+AC25+AG25+AK25+AO25+AS25+AW25+BA25+BE25+BI25+BM25+BQ25</f>
        <v>13522595851.074951</v>
      </c>
      <c r="BV25" s="596">
        <f>BP25</f>
        <v>1</v>
      </c>
      <c r="BW25" s="443">
        <f>BS25*BV25</f>
        <v>795446814.76911449</v>
      </c>
      <c r="BX25" s="623"/>
      <c r="BY25" s="624"/>
      <c r="BZ25" s="628"/>
      <c r="CC25" s="473"/>
      <c r="CH25" s="982" t="s">
        <v>989</v>
      </c>
      <c r="CI25" s="983">
        <f t="shared" ref="CI25:CI35" si="2">CI24+1</f>
        <v>2018</v>
      </c>
      <c r="CJ25" s="910">
        <f t="shared" ref="CJ25:CJ35" si="3">CJ24+CL24</f>
        <v>79367934864375</v>
      </c>
      <c r="CK25" s="985">
        <f t="shared" ref="CK25:CK35" si="4">CK24</f>
        <v>2.5000000000000001E-2</v>
      </c>
      <c r="CL25" s="910">
        <f t="shared" ref="CL25:CL35" si="5">CJ25*CK25</f>
        <v>1984198371609.375</v>
      </c>
      <c r="CN25" s="75"/>
      <c r="CO25" s="968">
        <f t="shared" ref="CO25:CO35" si="6">CO24+1</f>
        <v>2018</v>
      </c>
      <c r="CP25" s="305">
        <f>CP20</f>
        <v>10737418.24</v>
      </c>
      <c r="CQ25" s="986">
        <v>64</v>
      </c>
      <c r="CR25" s="411">
        <f t="shared" si="0"/>
        <v>687194767.36000001</v>
      </c>
      <c r="CS25" s="980">
        <v>2.5000000000000001E-2</v>
      </c>
      <c r="CT25" s="980"/>
      <c r="CU25" s="305">
        <f t="shared" si="1"/>
        <v>17179869.184</v>
      </c>
      <c r="CV25" s="978" t="s">
        <v>1144</v>
      </c>
      <c r="CW25" s="305">
        <f t="shared" ref="CW25:CW55" si="7">CU25</f>
        <v>17179869.184</v>
      </c>
      <c r="CX25" s="691">
        <f t="shared" ref="CX25:CX35" si="8">CW25+CX24-DB25</f>
        <v>17179869.184</v>
      </c>
      <c r="CY25" s="893">
        <v>0.125</v>
      </c>
      <c r="CZ25" s="973">
        <f>CX25*CY25</f>
        <v>2147483.648</v>
      </c>
      <c r="DA25" s="305">
        <f>BT58</f>
        <v>3767952717.2530403</v>
      </c>
      <c r="DB25" s="910">
        <f t="shared" ref="DB25:DB35" si="9">CR25*CT25</f>
        <v>0</v>
      </c>
      <c r="DC25" s="981">
        <f t="shared" ref="DC25:DC55" si="10">DC24+1</f>
        <v>2018</v>
      </c>
    </row>
    <row r="26" spans="1:109"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126"/>
      <c r="BV26" s="122"/>
      <c r="BW26" s="452" t="s">
        <v>733</v>
      </c>
      <c r="BX26" s="623"/>
      <c r="BY26" s="623"/>
      <c r="BZ26" s="628"/>
      <c r="CC26" s="473"/>
      <c r="CH26" s="982" t="s">
        <v>989</v>
      </c>
      <c r="CI26" s="983">
        <f t="shared" si="2"/>
        <v>2019</v>
      </c>
      <c r="CJ26" s="910">
        <f t="shared" si="3"/>
        <v>81352133235984.375</v>
      </c>
      <c r="CK26" s="985">
        <f t="shared" si="4"/>
        <v>2.5000000000000001E-2</v>
      </c>
      <c r="CL26" s="910">
        <f t="shared" si="5"/>
        <v>2033803330899.6094</v>
      </c>
      <c r="CN26" s="75"/>
      <c r="CO26" s="968">
        <f t="shared" si="6"/>
        <v>2019</v>
      </c>
      <c r="CP26" s="305">
        <f>CP20</f>
        <v>10737418.24</v>
      </c>
      <c r="CQ26" s="986">
        <v>64</v>
      </c>
      <c r="CR26" s="411">
        <f t="shared" si="0"/>
        <v>687194767.36000001</v>
      </c>
      <c r="CS26" s="980">
        <v>0.2</v>
      </c>
      <c r="CT26" s="980"/>
      <c r="CU26" s="305">
        <f t="shared" si="1"/>
        <v>137438953.472</v>
      </c>
      <c r="CV26" s="978" t="s">
        <v>1144</v>
      </c>
      <c r="CW26" s="305">
        <f t="shared" si="7"/>
        <v>137438953.472</v>
      </c>
      <c r="CX26" s="691">
        <f t="shared" si="8"/>
        <v>154618822.65600002</v>
      </c>
      <c r="CY26" s="893">
        <f>CY25</f>
        <v>0.125</v>
      </c>
      <c r="CZ26" s="973">
        <f t="shared" ref="CZ26:CZ55" si="11">CX26*CY26</f>
        <v>19327352.832000002</v>
      </c>
      <c r="DA26" s="305">
        <f>DA25</f>
        <v>3767952717.2530403</v>
      </c>
      <c r="DB26" s="910">
        <f t="shared" si="9"/>
        <v>0</v>
      </c>
      <c r="DC26" s="981">
        <f t="shared" si="10"/>
        <v>2019</v>
      </c>
    </row>
    <row r="27" spans="1:109" ht="19.2" thickBot="1" x14ac:dyDescent="0.5">
      <c r="C27" s="122"/>
      <c r="D27" s="574" t="s">
        <v>1369</v>
      </c>
      <c r="E27" s="7"/>
      <c r="F27" s="1096">
        <v>0.25</v>
      </c>
      <c r="G27" s="446">
        <f>E21*F27</f>
        <v>994308518.461393</v>
      </c>
      <c r="H27" s="447">
        <v>0.25</v>
      </c>
      <c r="I27" s="446">
        <f>G27*H27</f>
        <v>248577129.61534825</v>
      </c>
      <c r="J27" s="447">
        <v>1</v>
      </c>
      <c r="K27" s="439">
        <f>I27*J27</f>
        <v>248577129.61534825</v>
      </c>
      <c r="L27" s="438">
        <f>H27</f>
        <v>0.25</v>
      </c>
      <c r="M27" s="439">
        <f>K27*L27</f>
        <v>62144282.403837062</v>
      </c>
      <c r="N27" s="438">
        <f>J27</f>
        <v>1</v>
      </c>
      <c r="O27" s="439">
        <f>M27*N27</f>
        <v>62144282.403837062</v>
      </c>
      <c r="P27" s="438">
        <f>L27</f>
        <v>0.25</v>
      </c>
      <c r="Q27" s="439">
        <f>O27*P27</f>
        <v>15536070.600959266</v>
      </c>
      <c r="R27" s="438">
        <f>N27</f>
        <v>1</v>
      </c>
      <c r="S27" s="439">
        <f>Q27*R27</f>
        <v>15536070.600959266</v>
      </c>
      <c r="T27" s="438">
        <f>P27</f>
        <v>0.25</v>
      </c>
      <c r="U27" s="439">
        <f>S27*T27</f>
        <v>3884017.6502398164</v>
      </c>
      <c r="V27" s="438">
        <f>R27</f>
        <v>1</v>
      </c>
      <c r="W27" s="439">
        <f>U27*V27</f>
        <v>3884017.6502398164</v>
      </c>
      <c r="X27" s="438">
        <f>T27</f>
        <v>0.25</v>
      </c>
      <c r="Y27" s="439">
        <f>W27*X27</f>
        <v>971004.4125599541</v>
      </c>
      <c r="Z27" s="438">
        <f>V27</f>
        <v>1</v>
      </c>
      <c r="AA27" s="439">
        <f>Y27*Z27</f>
        <v>971004.4125599541</v>
      </c>
      <c r="AB27" s="438">
        <f>X27</f>
        <v>0.25</v>
      </c>
      <c r="AC27" s="439">
        <f>AA27*AB27</f>
        <v>242751.10313998853</v>
      </c>
      <c r="AD27" s="438">
        <f>Z27</f>
        <v>1</v>
      </c>
      <c r="AE27" s="439">
        <f>AC27*AD27</f>
        <v>242751.10313998853</v>
      </c>
      <c r="AF27" s="438">
        <f>AB27</f>
        <v>0.25</v>
      </c>
      <c r="AG27" s="439">
        <f>AE27*AF27</f>
        <v>60687.775784997131</v>
      </c>
      <c r="AH27" s="438">
        <f>AD27</f>
        <v>1</v>
      </c>
      <c r="AI27" s="439">
        <f>AG27*AH27</f>
        <v>60687.775784997131</v>
      </c>
      <c r="AJ27" s="438">
        <f>AF27</f>
        <v>0.25</v>
      </c>
      <c r="AK27" s="439">
        <f>AI27*AJ27</f>
        <v>15171.943946249283</v>
      </c>
      <c r="AL27" s="438">
        <f>AH27</f>
        <v>1</v>
      </c>
      <c r="AM27" s="439">
        <f>AK27*AL27</f>
        <v>15171.943946249283</v>
      </c>
      <c r="AN27" s="438">
        <f>AJ27</f>
        <v>0.25</v>
      </c>
      <c r="AO27" s="439">
        <f>AM27*AN27</f>
        <v>3792.9859865623207</v>
      </c>
      <c r="AP27" s="438">
        <f>AL27</f>
        <v>1</v>
      </c>
      <c r="AQ27" s="439">
        <f>AO27*AP27</f>
        <v>3792.9859865623207</v>
      </c>
      <c r="AR27" s="438">
        <f>AN27</f>
        <v>0.25</v>
      </c>
      <c r="AS27" s="439">
        <f>AQ27*AR27</f>
        <v>948.24649664058018</v>
      </c>
      <c r="AT27" s="438">
        <f>AP27</f>
        <v>1</v>
      </c>
      <c r="AU27" s="439">
        <f>AS27*AT27</f>
        <v>948.24649664058018</v>
      </c>
      <c r="AV27" s="438">
        <f>AR27</f>
        <v>0.25</v>
      </c>
      <c r="AW27" s="439">
        <f>AU27*AV27</f>
        <v>237.06162416014504</v>
      </c>
      <c r="AX27" s="438">
        <f>AT27</f>
        <v>1</v>
      </c>
      <c r="AY27" s="439">
        <f>AW27*AX27</f>
        <v>237.06162416014504</v>
      </c>
      <c r="AZ27" s="438">
        <f>AV27</f>
        <v>0.25</v>
      </c>
      <c r="BA27" s="439">
        <f>AY27*AZ27</f>
        <v>59.265406040036261</v>
      </c>
      <c r="BB27" s="438">
        <f>AX27</f>
        <v>1</v>
      </c>
      <c r="BC27" s="439">
        <f>BA27*BB27</f>
        <v>59.265406040036261</v>
      </c>
      <c r="BD27" s="438">
        <f>AR27</f>
        <v>0.25</v>
      </c>
      <c r="BE27" s="439">
        <f>BC27*BD27</f>
        <v>14.816351510009065</v>
      </c>
      <c r="BF27" s="438">
        <f>AT27</f>
        <v>1</v>
      </c>
      <c r="BG27" s="439">
        <f>BE27*BF27</f>
        <v>14.816351510009065</v>
      </c>
      <c r="BH27" s="438">
        <f>BD27</f>
        <v>0.25</v>
      </c>
      <c r="BI27" s="439">
        <f>BG27*BH27</f>
        <v>3.7040878775022663</v>
      </c>
      <c r="BJ27" s="438">
        <f>BF27</f>
        <v>1</v>
      </c>
      <c r="BK27" s="439">
        <f>BI27*BJ27</f>
        <v>3.7040878775022663</v>
      </c>
      <c r="BL27" s="438">
        <f>AB27</f>
        <v>0.25</v>
      </c>
      <c r="BM27" s="439">
        <f>BK27*BL27</f>
        <v>0.92602196937556658</v>
      </c>
      <c r="BN27" s="438">
        <f>AD27</f>
        <v>1</v>
      </c>
      <c r="BO27" s="439">
        <f>BM27*BN27</f>
        <v>0.92602196937556658</v>
      </c>
      <c r="BP27" s="438">
        <f>BL27</f>
        <v>0.25</v>
      </c>
      <c r="BQ27" s="439">
        <f>BO27*BP27</f>
        <v>0.23150549234389164</v>
      </c>
      <c r="BR27" s="438">
        <f>BN27</f>
        <v>1</v>
      </c>
      <c r="BS27" s="439">
        <f>BQ27*BR27</f>
        <v>0.23150549234389164</v>
      </c>
      <c r="BT27" s="719">
        <f>G27+I27+M27+Q27+U27+Y27+AC27+AG27+AK27+AO27+AS27+AW27+BA27+BE27+BI27+BM27+BQ27</f>
        <v>1325744691.2046885</v>
      </c>
      <c r="BV27" s="597">
        <f>BP27</f>
        <v>0.25</v>
      </c>
      <c r="BW27" s="439">
        <f>BS27*BV27</f>
        <v>5.7876373085972911E-2</v>
      </c>
      <c r="BX27" s="623"/>
      <c r="BY27" s="624"/>
      <c r="BZ27" s="628"/>
      <c r="CC27" s="473"/>
      <c r="CH27" s="982" t="s">
        <v>989</v>
      </c>
      <c r="CI27" s="983">
        <f t="shared" si="2"/>
        <v>2020</v>
      </c>
      <c r="CJ27" s="910">
        <f t="shared" si="3"/>
        <v>83385936566883.984</v>
      </c>
      <c r="CK27" s="985">
        <f t="shared" si="4"/>
        <v>2.5000000000000001E-2</v>
      </c>
      <c r="CL27" s="910">
        <f t="shared" si="5"/>
        <v>2084648414172.0996</v>
      </c>
      <c r="CM27" s="895" t="s">
        <v>1283</v>
      </c>
      <c r="CN27" s="75"/>
      <c r="CO27" s="968">
        <f t="shared" si="6"/>
        <v>2020</v>
      </c>
      <c r="CP27" s="305">
        <f>CP20</f>
        <v>10737418.24</v>
      </c>
      <c r="CQ27" s="986">
        <v>64</v>
      </c>
      <c r="CR27" s="411">
        <f t="shared" si="0"/>
        <v>687194767.36000001</v>
      </c>
      <c r="CS27" s="980">
        <v>1.5</v>
      </c>
      <c r="CT27" s="980"/>
      <c r="CU27" s="305">
        <f t="shared" si="1"/>
        <v>1030792151.04</v>
      </c>
      <c r="CV27" s="978" t="s">
        <v>1144</v>
      </c>
      <c r="CW27" s="305">
        <f t="shared" si="7"/>
        <v>1030792151.04</v>
      </c>
      <c r="CX27" s="691">
        <f t="shared" si="8"/>
        <v>1185410973.6960001</v>
      </c>
      <c r="CY27" s="893">
        <f t="shared" ref="CY27:CY31" si="12">CY26</f>
        <v>0.125</v>
      </c>
      <c r="CZ27" s="973">
        <f t="shared" si="11"/>
        <v>148176371.71200001</v>
      </c>
      <c r="DA27" s="305">
        <f t="shared" ref="DA27:DA55" si="13">DA26</f>
        <v>3767952717.2530403</v>
      </c>
      <c r="DB27" s="910">
        <f t="shared" si="9"/>
        <v>0</v>
      </c>
      <c r="DC27" s="981">
        <f t="shared" si="10"/>
        <v>2020</v>
      </c>
    </row>
    <row r="28" spans="1:109"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437"/>
      <c r="BQ28" s="434"/>
      <c r="BR28" s="142"/>
      <c r="BS28" s="434"/>
      <c r="BT28" s="180"/>
      <c r="BV28" s="122"/>
      <c r="BW28" s="8"/>
      <c r="BX28" s="623"/>
      <c r="BY28" s="624"/>
      <c r="BZ28" s="629">
        <f>BW5</f>
        <v>12187147188.337147</v>
      </c>
      <c r="CC28" s="473"/>
      <c r="CH28" s="982" t="s">
        <v>989</v>
      </c>
      <c r="CI28" s="983">
        <f t="shared" si="2"/>
        <v>2021</v>
      </c>
      <c r="CJ28" s="910">
        <f t="shared" si="3"/>
        <v>85470584981056.078</v>
      </c>
      <c r="CK28" s="985">
        <f t="shared" si="4"/>
        <v>2.5000000000000001E-2</v>
      </c>
      <c r="CL28" s="910">
        <f t="shared" si="5"/>
        <v>2136764624526.4021</v>
      </c>
      <c r="CN28" s="75"/>
      <c r="CO28" s="968">
        <f t="shared" si="6"/>
        <v>2021</v>
      </c>
      <c r="CP28" s="305">
        <f>CP20</f>
        <v>10737418.24</v>
      </c>
      <c r="CQ28" s="986">
        <v>64</v>
      </c>
      <c r="CR28" s="411">
        <f t="shared" si="0"/>
        <v>687194767.36000001</v>
      </c>
      <c r="CS28" s="980">
        <v>1.25</v>
      </c>
      <c r="CT28" s="980"/>
      <c r="CU28" s="305">
        <f t="shared" si="1"/>
        <v>858993459.20000005</v>
      </c>
      <c r="CV28" s="978" t="s">
        <v>1144</v>
      </c>
      <c r="CW28" s="305">
        <f t="shared" si="7"/>
        <v>858993459.20000005</v>
      </c>
      <c r="CX28" s="691">
        <f t="shared" si="8"/>
        <v>2044404432.8960001</v>
      </c>
      <c r="CY28" s="893">
        <f t="shared" si="12"/>
        <v>0.125</v>
      </c>
      <c r="CZ28" s="973">
        <f t="shared" si="11"/>
        <v>255550554.11200002</v>
      </c>
      <c r="DA28" s="305">
        <f t="shared" si="13"/>
        <v>3767952717.2530403</v>
      </c>
      <c r="DB28" s="910">
        <f t="shared" si="9"/>
        <v>0</v>
      </c>
      <c r="DC28" s="981">
        <f t="shared" si="10"/>
        <v>2021</v>
      </c>
    </row>
    <row r="29" spans="1:109"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122"/>
      <c r="BQ29" s="8"/>
      <c r="BR29" s="122"/>
      <c r="BS29" s="8"/>
      <c r="BT29" s="180">
        <f>SUM(BT10:BT27)</f>
        <v>191604002079.09256</v>
      </c>
      <c r="BV29" s="179"/>
      <c r="BW29" s="161">
        <f>SUM(BW10:BW28)</f>
        <v>11192838669.933632</v>
      </c>
      <c r="BX29" s="691">
        <v>1</v>
      </c>
      <c r="BY29" s="183">
        <f>BW29*BX29</f>
        <v>11192838669.933632</v>
      </c>
      <c r="BZ29" s="645">
        <f>BY29+BZ28</f>
        <v>23379985858.270779</v>
      </c>
      <c r="CA29" s="253" t="s">
        <v>1383</v>
      </c>
      <c r="CC29" s="473"/>
      <c r="CH29" s="982" t="s">
        <v>989</v>
      </c>
      <c r="CI29" s="983">
        <f>CI28+1</f>
        <v>2022</v>
      </c>
      <c r="CJ29" s="910">
        <f>CJ28+CL28</f>
        <v>87607349605582.484</v>
      </c>
      <c r="CK29" s="985">
        <f>CK28</f>
        <v>2.5000000000000001E-2</v>
      </c>
      <c r="CL29" s="910">
        <f t="shared" si="5"/>
        <v>2190183740139.5623</v>
      </c>
      <c r="CN29" s="75"/>
      <c r="CO29" s="968">
        <f>CO28+1</f>
        <v>2022</v>
      </c>
      <c r="CP29" s="305">
        <f>CP20</f>
        <v>10737418.24</v>
      </c>
      <c r="CQ29" s="986">
        <v>64</v>
      </c>
      <c r="CR29" s="411">
        <f t="shared" si="0"/>
        <v>687194767.36000001</v>
      </c>
      <c r="CS29" s="980">
        <v>2</v>
      </c>
      <c r="CT29" s="980"/>
      <c r="CU29" s="305">
        <f t="shared" si="1"/>
        <v>1374389534.72</v>
      </c>
      <c r="CV29" s="978" t="s">
        <v>1144</v>
      </c>
      <c r="CW29" s="305">
        <f t="shared" si="7"/>
        <v>1374389534.72</v>
      </c>
      <c r="CX29" s="691">
        <f t="shared" si="8"/>
        <v>3418793967.6160002</v>
      </c>
      <c r="CY29" s="893">
        <f t="shared" si="12"/>
        <v>0.125</v>
      </c>
      <c r="CZ29" s="973">
        <f t="shared" si="11"/>
        <v>427349245.95200002</v>
      </c>
      <c r="DA29" s="305">
        <f t="shared" si="13"/>
        <v>3767952717.2530403</v>
      </c>
      <c r="DB29" s="910">
        <f t="shared" si="9"/>
        <v>0</v>
      </c>
      <c r="DC29" s="981">
        <f>DC28+1</f>
        <v>2022</v>
      </c>
    </row>
    <row r="30" spans="1:109" x14ac:dyDescent="0.3">
      <c r="C30" s="158"/>
      <c r="D30" s="10"/>
      <c r="E30" s="10"/>
      <c r="F30" s="10"/>
      <c r="G30" s="159">
        <f>SUM(G10:G29)</f>
        <v>12187147188.337149</v>
      </c>
      <c r="H30" s="599"/>
      <c r="I30" s="172">
        <f>SUM(I10:I29)</f>
        <v>11441415799.491104</v>
      </c>
      <c r="J30" s="158"/>
      <c r="K30" s="11"/>
      <c r="L30" s="160"/>
      <c r="M30" s="161">
        <f>SUM(M10:M29)</f>
        <v>11254982952.279593</v>
      </c>
      <c r="N30" s="158"/>
      <c r="O30" s="11"/>
      <c r="P30" s="598"/>
      <c r="Q30" s="172">
        <f>SUM(Q10:Q29)</f>
        <v>11208374740.476715</v>
      </c>
      <c r="R30" s="158"/>
      <c r="S30" s="11"/>
      <c r="T30" s="160"/>
      <c r="U30" s="161">
        <f>SUM(U10:U29)</f>
        <v>11196722687.525995</v>
      </c>
      <c r="V30" s="158"/>
      <c r="W30" s="11"/>
      <c r="X30" s="598"/>
      <c r="Y30" s="172">
        <f>SUM(Y10:Y29)</f>
        <v>11193809674.288315</v>
      </c>
      <c r="Z30" s="158"/>
      <c r="AA30" s="11"/>
      <c r="AB30" s="160"/>
      <c r="AC30" s="161">
        <f>SUM(AC10:AC29)</f>
        <v>11193081420.978895</v>
      </c>
      <c r="AD30" s="158"/>
      <c r="AE30" s="11"/>
      <c r="AF30" s="598"/>
      <c r="AG30" s="172">
        <f>SUM(AG10:AG29)</f>
        <v>11192899357.651541</v>
      </c>
      <c r="AH30" s="158"/>
      <c r="AI30" s="11"/>
      <c r="AJ30" s="598"/>
      <c r="AK30" s="172">
        <f>SUM(AK10:AK29)</f>
        <v>11192853841.819702</v>
      </c>
      <c r="AL30" s="158"/>
      <c r="AM30" s="11"/>
      <c r="AN30" s="598"/>
      <c r="AO30" s="172">
        <f>SUM(AO10:AO29)</f>
        <v>11192842462.861742</v>
      </c>
      <c r="AP30" s="158"/>
      <c r="AQ30" s="11"/>
      <c r="AR30" s="598"/>
      <c r="AS30" s="172">
        <f>SUM(AS10:AS29)</f>
        <v>11192839618.122252</v>
      </c>
      <c r="AT30" s="158"/>
      <c r="AU30" s="11"/>
      <c r="AV30" s="598"/>
      <c r="AW30" s="172">
        <f>SUM(AW10:AW29)</f>
        <v>11192838906.93738</v>
      </c>
      <c r="AX30" s="158"/>
      <c r="AY30" s="11"/>
      <c r="AZ30" s="598"/>
      <c r="BA30" s="172">
        <f>SUM(BA10:BA29)</f>
        <v>11192838729.141161</v>
      </c>
      <c r="BB30" s="158"/>
      <c r="BC30" s="11"/>
      <c r="BD30" s="598"/>
      <c r="BE30" s="172">
        <f>SUM(BE10:BE29)</f>
        <v>11192838684.692106</v>
      </c>
      <c r="BF30" s="158"/>
      <c r="BG30" s="11"/>
      <c r="BH30" s="598"/>
      <c r="BI30" s="172">
        <f>SUM(BI10:BI29)</f>
        <v>11192838673.579844</v>
      </c>
      <c r="BJ30" s="158"/>
      <c r="BK30" s="11"/>
      <c r="BL30" s="598"/>
      <c r="BM30" s="172">
        <f>SUM(BM10:BM29)</f>
        <v>11192838670.801777</v>
      </c>
      <c r="BN30" s="158"/>
      <c r="BO30" s="11"/>
      <c r="BP30" s="179"/>
      <c r="BQ30" s="161">
        <f>SUM(BQ10:BQ29)</f>
        <v>11192838670.107262</v>
      </c>
      <c r="BR30" s="158"/>
      <c r="BS30" s="11"/>
      <c r="BT30" s="161">
        <f>G30+I30+M30+Q30+U30+Y30+AC30+BM30+BQ30</f>
        <v>102061211804.2868</v>
      </c>
      <c r="BZ30" s="253" t="s">
        <v>1383</v>
      </c>
      <c r="CC30" s="473"/>
      <c r="CH30" s="982" t="s">
        <v>989</v>
      </c>
      <c r="CI30" s="983">
        <f>CI29+1</f>
        <v>2023</v>
      </c>
      <c r="CJ30" s="910">
        <f>CJ29+CL29</f>
        <v>89797533345722.047</v>
      </c>
      <c r="CK30" s="985">
        <f>CK29</f>
        <v>2.5000000000000001E-2</v>
      </c>
      <c r="CL30" s="910">
        <f t="shared" si="5"/>
        <v>2244938333643.0513</v>
      </c>
      <c r="CN30" s="75"/>
      <c r="CO30" s="968">
        <f>CO29+1</f>
        <v>2023</v>
      </c>
      <c r="CP30" s="305">
        <f>CP20</f>
        <v>10737418.24</v>
      </c>
      <c r="CQ30" s="986">
        <v>64</v>
      </c>
      <c r="CR30" s="411">
        <f t="shared" si="0"/>
        <v>687194767.36000001</v>
      </c>
      <c r="CS30" s="980">
        <v>3</v>
      </c>
      <c r="CT30" s="980"/>
      <c r="CU30" s="305">
        <f t="shared" si="1"/>
        <v>2061584302.0799999</v>
      </c>
      <c r="CV30" s="978" t="s">
        <v>1144</v>
      </c>
      <c r="CW30" s="305">
        <f t="shared" si="7"/>
        <v>2061584302.0799999</v>
      </c>
      <c r="CX30" s="691">
        <f t="shared" si="8"/>
        <v>5480378269.6960001</v>
      </c>
      <c r="CY30" s="893">
        <f t="shared" si="12"/>
        <v>0.125</v>
      </c>
      <c r="CZ30" s="973">
        <f t="shared" si="11"/>
        <v>685047283.71200001</v>
      </c>
      <c r="DA30" s="305">
        <f t="shared" si="13"/>
        <v>3767952717.2530403</v>
      </c>
      <c r="DB30" s="910">
        <f t="shared" si="9"/>
        <v>0</v>
      </c>
      <c r="DC30" s="981">
        <f>DC29+1</f>
        <v>2023</v>
      </c>
    </row>
    <row r="31" spans="1:109" x14ac:dyDescent="0.3">
      <c r="I31" s="30"/>
      <c r="Q31" s="30"/>
      <c r="Y31" s="30"/>
      <c r="BT31" s="999" t="s">
        <v>1355</v>
      </c>
      <c r="BV31" s="77" t="s">
        <v>1382</v>
      </c>
      <c r="BW31" s="567">
        <f>BT34</f>
        <v>16.360904570942317</v>
      </c>
      <c r="BX31" s="76"/>
      <c r="BY31" s="76" t="s">
        <v>957</v>
      </c>
      <c r="CC31" s="473"/>
      <c r="CH31" s="982" t="s">
        <v>989</v>
      </c>
      <c r="CI31" s="983">
        <f t="shared" si="2"/>
        <v>2024</v>
      </c>
      <c r="CJ31" s="910">
        <f t="shared" si="3"/>
        <v>92042471679365.094</v>
      </c>
      <c r="CK31" s="985">
        <f t="shared" si="4"/>
        <v>2.5000000000000001E-2</v>
      </c>
      <c r="CL31" s="910">
        <f t="shared" si="5"/>
        <v>2301061791984.1274</v>
      </c>
      <c r="CM31" s="895" t="s">
        <v>1282</v>
      </c>
      <c r="CN31" s="75"/>
      <c r="CO31" s="968">
        <f t="shared" si="6"/>
        <v>2024</v>
      </c>
      <c r="CP31" s="305">
        <f>CP20</f>
        <v>10737418.24</v>
      </c>
      <c r="CQ31" s="986">
        <v>64</v>
      </c>
      <c r="CR31" s="411">
        <f t="shared" si="0"/>
        <v>687194767.36000001</v>
      </c>
      <c r="CS31" s="980">
        <v>8</v>
      </c>
      <c r="CT31" s="980"/>
      <c r="CU31" s="305">
        <f t="shared" si="1"/>
        <v>5497558138.8800001</v>
      </c>
      <c r="CV31" s="978" t="s">
        <v>1144</v>
      </c>
      <c r="CW31" s="305">
        <f t="shared" si="7"/>
        <v>5497558138.8800001</v>
      </c>
      <c r="CX31" s="691">
        <f t="shared" si="8"/>
        <v>10977936408.576</v>
      </c>
      <c r="CY31" s="893">
        <f t="shared" si="12"/>
        <v>0.125</v>
      </c>
      <c r="CZ31" s="995">
        <f t="shared" si="11"/>
        <v>1372242051.072</v>
      </c>
      <c r="DA31" s="305">
        <f t="shared" si="13"/>
        <v>3767952717.2530403</v>
      </c>
      <c r="DB31" s="910">
        <f t="shared" si="9"/>
        <v>0</v>
      </c>
      <c r="DC31" s="981">
        <f t="shared" si="10"/>
        <v>2024</v>
      </c>
      <c r="DD31" s="1000">
        <v>0.125</v>
      </c>
      <c r="DE31" s="1001">
        <f>CZ31*CY31</f>
        <v>171530256.384</v>
      </c>
    </row>
    <row r="32" spans="1:109" x14ac:dyDescent="0.3">
      <c r="A32" s="690"/>
      <c r="B32" s="690"/>
      <c r="I32" s="690"/>
      <c r="BS32" s="1150" t="s">
        <v>306</v>
      </c>
      <c r="BT32" s="182">
        <f>E8</f>
        <v>24374294376.674294</v>
      </c>
      <c r="BV32" s="736">
        <f>BT47</f>
        <v>24374294376.674294</v>
      </c>
      <c r="BW32" s="568">
        <f>BV32*BT34</f>
        <v>398785504280.82404</v>
      </c>
      <c r="BX32" s="208">
        <f>BU49</f>
        <v>0.66163000000000005</v>
      </c>
      <c r="BY32" s="691">
        <f>BW32*BX32</f>
        <v>263848453197.32162</v>
      </c>
      <c r="CC32" s="473"/>
      <c r="CH32" s="332" t="s">
        <v>989</v>
      </c>
      <c r="CI32" s="953">
        <f>CI31+1</f>
        <v>2025</v>
      </c>
      <c r="CJ32" s="691">
        <f>CJ31+CL31</f>
        <v>94343533471349.219</v>
      </c>
      <c r="CK32" s="894">
        <f>CK31</f>
        <v>2.5000000000000001E-2</v>
      </c>
      <c r="CL32" s="691">
        <f t="shared" si="5"/>
        <v>2358588336783.7305</v>
      </c>
      <c r="CN32" s="332" t="s">
        <v>963</v>
      </c>
      <c r="CO32" s="953">
        <f>CO31+1</f>
        <v>2025</v>
      </c>
      <c r="CP32" s="691">
        <f>CP20</f>
        <v>10737418.24</v>
      </c>
      <c r="CQ32" s="987">
        <v>64</v>
      </c>
      <c r="CR32" s="875">
        <f t="shared" si="0"/>
        <v>687194767.36000001</v>
      </c>
      <c r="CS32" s="977"/>
      <c r="CT32" s="977"/>
      <c r="CU32" s="691">
        <f t="shared" si="1"/>
        <v>0</v>
      </c>
      <c r="CW32" s="691">
        <f t="shared" si="7"/>
        <v>0</v>
      </c>
      <c r="CX32" s="691">
        <f t="shared" si="8"/>
        <v>10977936408.576</v>
      </c>
      <c r="CY32" s="894">
        <f>CY31</f>
        <v>0.125</v>
      </c>
      <c r="CZ32" s="975">
        <f t="shared" si="11"/>
        <v>1372242051.072</v>
      </c>
      <c r="DA32" s="691">
        <f t="shared" si="13"/>
        <v>3767952717.2530403</v>
      </c>
      <c r="DB32" s="183">
        <f t="shared" si="9"/>
        <v>0</v>
      </c>
      <c r="DC32" s="949">
        <f>DC31+1</f>
        <v>2025</v>
      </c>
    </row>
    <row r="33" spans="1:107" x14ac:dyDescent="0.3">
      <c r="I33" s="690"/>
      <c r="J33" s="18"/>
      <c r="K33" s="690"/>
      <c r="BS33" s="122" t="s">
        <v>307</v>
      </c>
      <c r="BT33" s="183">
        <f>BT29+BT5</f>
        <v>398785504280.8241</v>
      </c>
      <c r="BW33" s="248"/>
      <c r="BY33" s="181"/>
      <c r="CC33" s="473"/>
      <c r="CH33" s="332" t="s">
        <v>989</v>
      </c>
      <c r="CI33" s="953">
        <f t="shared" si="2"/>
        <v>2026</v>
      </c>
      <c r="CJ33" s="691">
        <f t="shared" si="3"/>
        <v>96702121808132.953</v>
      </c>
      <c r="CK33" s="894">
        <f t="shared" si="4"/>
        <v>2.5000000000000001E-2</v>
      </c>
      <c r="CL33" s="691">
        <f t="shared" si="5"/>
        <v>2417553045203.3237</v>
      </c>
      <c r="CN33" s="332"/>
      <c r="CO33" s="953">
        <f t="shared" si="6"/>
        <v>2026</v>
      </c>
      <c r="CP33" s="691">
        <f>CP20</f>
        <v>10737418.24</v>
      </c>
      <c r="CQ33" s="987">
        <v>64</v>
      </c>
      <c r="CR33" s="875">
        <f t="shared" si="0"/>
        <v>687194767.36000001</v>
      </c>
      <c r="CS33" s="977"/>
      <c r="CT33" s="977"/>
      <c r="CU33" s="691">
        <f t="shared" si="1"/>
        <v>0</v>
      </c>
      <c r="CW33" s="691">
        <f t="shared" si="7"/>
        <v>0</v>
      </c>
      <c r="CX33" s="691">
        <f t="shared" si="8"/>
        <v>10977936408.576</v>
      </c>
      <c r="CY33" s="894">
        <f>CY32</f>
        <v>0.125</v>
      </c>
      <c r="CZ33" s="975">
        <f t="shared" si="11"/>
        <v>1372242051.072</v>
      </c>
      <c r="DA33" s="691">
        <f t="shared" si="13"/>
        <v>3767952717.2530403</v>
      </c>
      <c r="DB33" s="183">
        <f t="shared" si="9"/>
        <v>0</v>
      </c>
      <c r="DC33" s="949">
        <f t="shared" si="10"/>
        <v>2026</v>
      </c>
    </row>
    <row r="34" spans="1:107" x14ac:dyDescent="0.3">
      <c r="A34" s="690"/>
      <c r="B34" s="690"/>
      <c r="C34" s="900" t="s">
        <v>1036</v>
      </c>
      <c r="D34" s="901" t="s">
        <v>1287</v>
      </c>
      <c r="E34" s="4"/>
      <c r="F34" s="4"/>
      <c r="G34" s="5"/>
      <c r="BS34" s="1150" t="s">
        <v>310</v>
      </c>
      <c r="BT34" s="184">
        <f>BT33/BT32</f>
        <v>16.360904570942317</v>
      </c>
      <c r="BU34" s="239"/>
      <c r="BV34" s="239" t="s">
        <v>974</v>
      </c>
      <c r="BW34" s="248" t="s">
        <v>1384</v>
      </c>
      <c r="BX34" s="239"/>
      <c r="BY34" s="181"/>
      <c r="CC34" s="473"/>
      <c r="CH34" s="332" t="s">
        <v>989</v>
      </c>
      <c r="CI34" s="953">
        <f t="shared" si="2"/>
        <v>2027</v>
      </c>
      <c r="CJ34" s="691">
        <f t="shared" si="3"/>
        <v>99119674853336.281</v>
      </c>
      <c r="CK34" s="894">
        <f t="shared" si="4"/>
        <v>2.5000000000000001E-2</v>
      </c>
      <c r="CL34" s="691">
        <f t="shared" si="5"/>
        <v>2477991871333.4072</v>
      </c>
      <c r="CN34" s="76"/>
      <c r="CO34" s="953">
        <f t="shared" si="6"/>
        <v>2027</v>
      </c>
      <c r="CP34" s="691">
        <f>CP20</f>
        <v>10737418.24</v>
      </c>
      <c r="CQ34" s="987">
        <v>64</v>
      </c>
      <c r="CR34" s="875">
        <f t="shared" si="0"/>
        <v>687194767.36000001</v>
      </c>
      <c r="CS34" s="977"/>
      <c r="CT34" s="977"/>
      <c r="CU34" s="691">
        <f t="shared" si="1"/>
        <v>0</v>
      </c>
      <c r="CW34" s="691">
        <f t="shared" si="7"/>
        <v>0</v>
      </c>
      <c r="CX34" s="691">
        <f t="shared" si="8"/>
        <v>10977936408.576</v>
      </c>
      <c r="CY34" s="894">
        <f t="shared" ref="CY34:CY55" si="14">CY33</f>
        <v>0.125</v>
      </c>
      <c r="CZ34" s="975">
        <f t="shared" si="11"/>
        <v>1372242051.072</v>
      </c>
      <c r="DA34" s="691">
        <f t="shared" si="13"/>
        <v>3767952717.2530403</v>
      </c>
      <c r="DB34" s="183">
        <f t="shared" si="9"/>
        <v>0</v>
      </c>
      <c r="DC34" s="949">
        <f t="shared" si="10"/>
        <v>2027</v>
      </c>
    </row>
    <row r="35" spans="1:107" x14ac:dyDescent="0.3">
      <c r="A35" s="690"/>
      <c r="B35" s="690"/>
      <c r="C35" s="122" t="s">
        <v>732</v>
      </c>
      <c r="D35" s="287" t="s">
        <v>1288</v>
      </c>
      <c r="E35" s="7" t="s">
        <v>1289</v>
      </c>
      <c r="F35" s="7"/>
      <c r="G35" s="8"/>
      <c r="BR35" s="38"/>
      <c r="BS35" s="1150" t="s">
        <v>785</v>
      </c>
      <c r="BT35" s="472"/>
      <c r="BU35" s="473"/>
      <c r="BV35" s="472"/>
      <c r="BW35" s="472">
        <f>BV35-BT35</f>
        <v>0</v>
      </c>
      <c r="BX35" s="473"/>
      <c r="BY35" s="563"/>
      <c r="BZ35" s="473"/>
      <c r="CA35" s="473"/>
      <c r="CB35" s="473"/>
      <c r="CC35" s="473"/>
      <c r="CD35" s="88"/>
      <c r="CE35" s="88"/>
      <c r="CF35" s="88"/>
      <c r="CG35" s="88"/>
      <c r="CH35" s="332" t="s">
        <v>989</v>
      </c>
      <c r="CI35" s="953">
        <f t="shared" si="2"/>
        <v>2028</v>
      </c>
      <c r="CJ35" s="691">
        <f t="shared" si="3"/>
        <v>101597666724669.69</v>
      </c>
      <c r="CK35" s="894">
        <f t="shared" si="4"/>
        <v>2.5000000000000001E-2</v>
      </c>
      <c r="CL35" s="691">
        <f t="shared" si="5"/>
        <v>2539941668116.7422</v>
      </c>
      <c r="CN35" s="76"/>
      <c r="CO35" s="953">
        <f t="shared" si="6"/>
        <v>2028</v>
      </c>
      <c r="CP35" s="691">
        <f>CP20</f>
        <v>10737418.24</v>
      </c>
      <c r="CQ35" s="987">
        <v>64</v>
      </c>
      <c r="CR35" s="875">
        <f t="shared" si="0"/>
        <v>687194767.36000001</v>
      </c>
      <c r="CS35" s="977"/>
      <c r="CT35" s="977"/>
      <c r="CU35" s="691">
        <f t="shared" si="1"/>
        <v>0</v>
      </c>
      <c r="CW35" s="691">
        <f t="shared" si="7"/>
        <v>0</v>
      </c>
      <c r="CX35" s="691">
        <f t="shared" si="8"/>
        <v>10977936408.576</v>
      </c>
      <c r="CY35" s="894">
        <f t="shared" si="14"/>
        <v>0.125</v>
      </c>
      <c r="CZ35" s="975">
        <f t="shared" si="11"/>
        <v>1372242051.072</v>
      </c>
      <c r="DA35" s="691">
        <f t="shared" si="13"/>
        <v>3767952717.2530403</v>
      </c>
      <c r="DB35" s="183">
        <f t="shared" si="9"/>
        <v>0</v>
      </c>
      <c r="DC35" s="949">
        <f t="shared" si="10"/>
        <v>2028</v>
      </c>
    </row>
    <row r="36" spans="1:107" x14ac:dyDescent="0.3">
      <c r="A36" s="690"/>
      <c r="B36" s="690"/>
      <c r="C36" s="1151">
        <v>32</v>
      </c>
      <c r="D36" s="411">
        <f>'POP Dimensions'!J15</f>
        <v>21474836.48</v>
      </c>
      <c r="E36" s="411">
        <f>C36*D36</f>
        <v>687194767.36000001</v>
      </c>
      <c r="F36" s="896"/>
      <c r="G36" s="902" t="s">
        <v>732</v>
      </c>
      <c r="BR36" s="38"/>
      <c r="BS36" s="1206" t="s">
        <v>1445</v>
      </c>
      <c r="BT36" s="1207">
        <f>'POP Dimensions'!L16*150%</f>
        <v>515396075.51999998</v>
      </c>
      <c r="BU36" s="88"/>
      <c r="BV36" s="511"/>
      <c r="BW36" s="511"/>
      <c r="BX36" s="88"/>
      <c r="BY36" s="181"/>
      <c r="BZ36" s="88"/>
      <c r="CA36" s="88"/>
      <c r="CB36" s="616">
        <f>BY47*CD47</f>
        <v>920424716793.65088</v>
      </c>
      <c r="CC36" s="617" t="s">
        <v>778</v>
      </c>
      <c r="CD36" s="88"/>
      <c r="CE36" s="88"/>
      <c r="CF36" s="88"/>
      <c r="CG36" s="88"/>
      <c r="CH36" s="332" t="s">
        <v>989</v>
      </c>
      <c r="CI36" s="953">
        <f>CI35+1</f>
        <v>2029</v>
      </c>
      <c r="CJ36" s="691">
        <f>CJ35+CL35</f>
        <v>104137608392786.44</v>
      </c>
      <c r="CK36" s="894">
        <f>CK35</f>
        <v>2.5000000000000001E-2</v>
      </c>
      <c r="CL36" s="691">
        <f>CJ36*CK36</f>
        <v>2603440209819.6611</v>
      </c>
      <c r="CN36" s="76"/>
      <c r="CO36" s="953">
        <f>CO35+1</f>
        <v>2029</v>
      </c>
      <c r="CP36" s="691">
        <f>CP20</f>
        <v>10737418.24</v>
      </c>
      <c r="CQ36" s="987">
        <v>64</v>
      </c>
      <c r="CR36" s="875">
        <f>CQ36*CP36</f>
        <v>687194767.36000001</v>
      </c>
      <c r="CS36" s="977"/>
      <c r="CT36" s="977"/>
      <c r="CU36" s="691">
        <f>CR36*CS36</f>
        <v>0</v>
      </c>
      <c r="CW36" s="691">
        <f t="shared" si="7"/>
        <v>0</v>
      </c>
      <c r="CX36" s="691">
        <f>CW36+CX35-DB36</f>
        <v>10977936408.576</v>
      </c>
      <c r="CY36" s="894">
        <f t="shared" si="14"/>
        <v>0.125</v>
      </c>
      <c r="CZ36" s="975">
        <f t="shared" si="11"/>
        <v>1372242051.072</v>
      </c>
      <c r="DA36" s="691">
        <f t="shared" si="13"/>
        <v>3767952717.2530403</v>
      </c>
      <c r="DB36" s="183">
        <f>CR36*CT36</f>
        <v>0</v>
      </c>
      <c r="DC36" s="949">
        <f t="shared" si="10"/>
        <v>2029</v>
      </c>
    </row>
    <row r="37" spans="1:107" x14ac:dyDescent="0.3">
      <c r="A37" s="690"/>
      <c r="B37" s="690"/>
      <c r="C37" s="1152">
        <f>C36*2</f>
        <v>64</v>
      </c>
      <c r="D37" s="897">
        <f>D36</f>
        <v>21474836.48</v>
      </c>
      <c r="E37" s="897">
        <f t="shared" ref="E37:E43" si="15">C37*D37</f>
        <v>1374389534.72</v>
      </c>
      <c r="F37" s="874"/>
      <c r="G37" s="903" t="s">
        <v>732</v>
      </c>
      <c r="BR37" s="38"/>
      <c r="BS37" s="1206" t="s">
        <v>1444</v>
      </c>
      <c r="BT37" s="1207">
        <f>'POP Dimensions'!H17*150%</f>
        <v>1030792151.04</v>
      </c>
      <c r="BU37" s="88"/>
      <c r="BV37" s="511"/>
      <c r="BW37" s="511"/>
      <c r="BX37" s="88"/>
      <c r="BY37" s="181"/>
      <c r="BZ37" s="88"/>
      <c r="CA37" s="88"/>
      <c r="CB37" s="616"/>
      <c r="CC37" s="617"/>
      <c r="CD37" s="88"/>
      <c r="CE37" s="88"/>
      <c r="CF37" s="88"/>
      <c r="CG37" s="88"/>
      <c r="CH37" s="332" t="s">
        <v>989</v>
      </c>
      <c r="CI37" s="953">
        <f>CI36+1</f>
        <v>2030</v>
      </c>
      <c r="CJ37" s="691">
        <f>CJ36+CL36</f>
        <v>106741048602606.09</v>
      </c>
      <c r="CK37" s="894">
        <f>CK36</f>
        <v>2.5000000000000001E-2</v>
      </c>
      <c r="CL37" s="691">
        <f>CJ37*CK37</f>
        <v>2668526215065.1523</v>
      </c>
      <c r="CN37" s="76"/>
      <c r="CO37" s="953">
        <f>CO36+1</f>
        <v>2030</v>
      </c>
      <c r="CP37" s="691">
        <f>CP20</f>
        <v>10737418.24</v>
      </c>
      <c r="CQ37" s="987">
        <v>64</v>
      </c>
      <c r="CR37" s="875">
        <f t="shared" ref="CR37:CR55" si="16">CQ37*CP37</f>
        <v>687194767.36000001</v>
      </c>
      <c r="CS37" s="977"/>
      <c r="CT37" s="977"/>
      <c r="CU37" s="691">
        <f t="shared" ref="CU37:CU55" si="17">CR37*CS37</f>
        <v>0</v>
      </c>
      <c r="CW37" s="691">
        <f t="shared" si="7"/>
        <v>0</v>
      </c>
      <c r="CX37" s="691">
        <f>CW37+CX36-DB37</f>
        <v>10977936408.576</v>
      </c>
      <c r="CY37" s="894">
        <f t="shared" si="14"/>
        <v>0.125</v>
      </c>
      <c r="CZ37" s="975">
        <f t="shared" si="11"/>
        <v>1372242051.072</v>
      </c>
      <c r="DA37" s="691">
        <f t="shared" si="13"/>
        <v>3767952717.2530403</v>
      </c>
      <c r="DB37" s="183">
        <f>CR37*CT37</f>
        <v>0</v>
      </c>
      <c r="DC37" s="949">
        <f t="shared" si="10"/>
        <v>2030</v>
      </c>
    </row>
    <row r="38" spans="1:107" x14ac:dyDescent="0.3">
      <c r="A38" s="690"/>
      <c r="B38" s="690"/>
      <c r="C38" s="1121">
        <f>C37*2</f>
        <v>128</v>
      </c>
      <c r="D38" s="875">
        <f t="shared" ref="D38:D43" si="18">D37</f>
        <v>21474836.48</v>
      </c>
      <c r="E38" s="875">
        <f t="shared" si="15"/>
        <v>2748779069.4400001</v>
      </c>
      <c r="F38" s="410"/>
      <c r="G38" s="126" t="s">
        <v>732</v>
      </c>
      <c r="BO38" s="1162" t="s">
        <v>1435</v>
      </c>
      <c r="BP38" s="1160"/>
      <c r="BQ38" s="1160"/>
      <c r="BR38" s="1160"/>
      <c r="BS38" s="1161" t="s">
        <v>1284</v>
      </c>
      <c r="BT38" s="1164">
        <f>'POP Dimensions'!L16*150%</f>
        <v>515396075.51999998</v>
      </c>
      <c r="BU38" s="88"/>
      <c r="BV38" s="88"/>
      <c r="BW38" s="253"/>
      <c r="BX38" s="88"/>
      <c r="BY38" s="181"/>
      <c r="CH38" s="332" t="s">
        <v>989</v>
      </c>
      <c r="CI38" s="953">
        <f>CI37+1</f>
        <v>2031</v>
      </c>
      <c r="CJ38" s="691">
        <f>CJ37+CL37</f>
        <v>109409574817671.25</v>
      </c>
      <c r="CK38" s="894">
        <f>CK37</f>
        <v>2.5000000000000001E-2</v>
      </c>
      <c r="CL38" s="691">
        <f>CJ38*CK38</f>
        <v>2735239370441.7813</v>
      </c>
      <c r="CN38" s="76"/>
      <c r="CO38" s="953">
        <f t="shared" ref="CO38:CO55" si="19">CO37+1</f>
        <v>2031</v>
      </c>
      <c r="CP38" s="691">
        <f>CP20</f>
        <v>10737418.24</v>
      </c>
      <c r="CQ38" s="987">
        <v>64</v>
      </c>
      <c r="CR38" s="875">
        <f t="shared" si="16"/>
        <v>687194767.36000001</v>
      </c>
      <c r="CS38" s="977"/>
      <c r="CT38" s="977"/>
      <c r="CU38" s="691">
        <f t="shared" si="17"/>
        <v>0</v>
      </c>
      <c r="CW38" s="691">
        <f t="shared" si="7"/>
        <v>0</v>
      </c>
      <c r="CX38" s="691">
        <f t="shared" ref="CX38:CX55" si="20">CW38+CX37-DB38</f>
        <v>10977936408.576</v>
      </c>
      <c r="CY38" s="894">
        <f t="shared" si="14"/>
        <v>0.125</v>
      </c>
      <c r="CZ38" s="975">
        <f t="shared" si="11"/>
        <v>1372242051.072</v>
      </c>
      <c r="DA38" s="691">
        <f t="shared" si="13"/>
        <v>3767952717.2530403</v>
      </c>
      <c r="DB38" s="183">
        <f t="shared" ref="DB38:DB55" si="21">CR38*CT38</f>
        <v>0</v>
      </c>
      <c r="DC38" s="949">
        <f t="shared" si="10"/>
        <v>2031</v>
      </c>
    </row>
    <row r="39" spans="1:107" x14ac:dyDescent="0.3">
      <c r="A39" s="690"/>
      <c r="B39" s="690"/>
      <c r="C39" s="1151">
        <f>C38*2</f>
        <v>256</v>
      </c>
      <c r="D39" s="411">
        <f t="shared" si="18"/>
        <v>21474836.48</v>
      </c>
      <c r="E39" s="411">
        <f t="shared" si="15"/>
        <v>5497558138.8800001</v>
      </c>
      <c r="F39" s="896"/>
      <c r="G39" s="902" t="s">
        <v>732</v>
      </c>
      <c r="BO39" s="1163" t="s">
        <v>1436</v>
      </c>
      <c r="BS39" s="1155" t="s">
        <v>1279</v>
      </c>
      <c r="BT39" s="1164">
        <v>-13500000000</v>
      </c>
      <c r="BU39" s="208">
        <v>0.05</v>
      </c>
      <c r="BV39" s="76">
        <f>BT49*BU39</f>
        <v>13192422659.866081</v>
      </c>
      <c r="BW39" s="253" t="s">
        <v>1465</v>
      </c>
      <c r="BX39" s="88"/>
      <c r="BY39" s="181"/>
      <c r="CB39" s="616"/>
      <c r="CC39" s="617"/>
      <c r="CH39" s="332" t="s">
        <v>989</v>
      </c>
      <c r="CI39" s="953">
        <f>CI38+1</f>
        <v>2032</v>
      </c>
      <c r="CJ39" s="691">
        <f>CJ38+CL38</f>
        <v>112144814188113.03</v>
      </c>
      <c r="CK39" s="894">
        <f>CK38</f>
        <v>2.5000000000000001E-2</v>
      </c>
      <c r="CL39" s="691">
        <f>CJ39*CK39</f>
        <v>2803620354702.8262</v>
      </c>
      <c r="CM39" s="895" t="s">
        <v>1281</v>
      </c>
      <c r="CN39" s="76"/>
      <c r="CO39" s="953">
        <f t="shared" si="19"/>
        <v>2032</v>
      </c>
      <c r="CP39" s="691">
        <f t="shared" ref="CP39:CP55" si="22">CP29</f>
        <v>10737418.24</v>
      </c>
      <c r="CQ39" s="987">
        <v>64</v>
      </c>
      <c r="CR39" s="875">
        <f t="shared" si="16"/>
        <v>687194767.36000001</v>
      </c>
      <c r="CS39" s="977"/>
      <c r="CT39" s="977"/>
      <c r="CU39" s="691">
        <f t="shared" si="17"/>
        <v>0</v>
      </c>
      <c r="CW39" s="691">
        <f t="shared" si="7"/>
        <v>0</v>
      </c>
      <c r="CX39" s="691">
        <f t="shared" si="20"/>
        <v>10977936408.576</v>
      </c>
      <c r="CY39" s="894">
        <f t="shared" si="14"/>
        <v>0.125</v>
      </c>
      <c r="CZ39" s="975">
        <f t="shared" si="11"/>
        <v>1372242051.072</v>
      </c>
      <c r="DA39" s="691">
        <f t="shared" si="13"/>
        <v>3767952717.2530403</v>
      </c>
      <c r="DB39" s="183">
        <f t="shared" si="21"/>
        <v>0</v>
      </c>
      <c r="DC39" s="949">
        <f t="shared" si="10"/>
        <v>2032</v>
      </c>
    </row>
    <row r="40" spans="1:107" x14ac:dyDescent="0.3">
      <c r="A40" s="690"/>
      <c r="B40" s="690"/>
      <c r="C40" s="1152">
        <f t="shared" ref="C40:C43" si="23">C39*2</f>
        <v>512</v>
      </c>
      <c r="D40" s="897">
        <f t="shared" si="18"/>
        <v>21474836.48</v>
      </c>
      <c r="E40" s="897">
        <f t="shared" si="15"/>
        <v>10995116277.76</v>
      </c>
      <c r="F40" s="874"/>
      <c r="G40" s="903" t="s">
        <v>732</v>
      </c>
      <c r="BS40" s="1156" t="s">
        <v>1277</v>
      </c>
      <c r="BT40" s="1164">
        <f>'POP Dimensions'!J17</f>
        <v>1374389534.72</v>
      </c>
      <c r="BU40" s="88"/>
      <c r="BV40" s="253"/>
      <c r="BW40" s="253"/>
      <c r="BX40" s="253"/>
      <c r="BY40" s="181"/>
      <c r="CB40" s="616"/>
      <c r="CC40" s="617"/>
      <c r="CH40" s="332" t="s">
        <v>989</v>
      </c>
      <c r="CI40" s="953">
        <f t="shared" ref="CI40:CI55" si="24">CI39+1</f>
        <v>2033</v>
      </c>
      <c r="CJ40" s="691">
        <f t="shared" ref="CJ40:CJ55" si="25">CJ39+CL39</f>
        <v>114948434542815.86</v>
      </c>
      <c r="CK40" s="894">
        <f t="shared" ref="CK40:CK55" si="26">CK39</f>
        <v>2.5000000000000001E-2</v>
      </c>
      <c r="CL40" s="691">
        <f t="shared" ref="CL40:CL55" si="27">CJ40*CK40</f>
        <v>2873710863570.3965</v>
      </c>
      <c r="CN40" s="76"/>
      <c r="CO40" s="953">
        <f t="shared" si="19"/>
        <v>2033</v>
      </c>
      <c r="CP40" s="691">
        <f t="shared" si="22"/>
        <v>10737418.24</v>
      </c>
      <c r="CQ40" s="987">
        <v>64</v>
      </c>
      <c r="CR40" s="875">
        <f t="shared" si="16"/>
        <v>687194767.36000001</v>
      </c>
      <c r="CS40" s="969"/>
      <c r="CT40" s="977"/>
      <c r="CU40" s="691">
        <f t="shared" si="17"/>
        <v>0</v>
      </c>
      <c r="CW40" s="691">
        <f t="shared" si="7"/>
        <v>0</v>
      </c>
      <c r="CX40" s="691">
        <f t="shared" si="20"/>
        <v>10977936408.576</v>
      </c>
      <c r="CY40" s="894">
        <f t="shared" si="14"/>
        <v>0.125</v>
      </c>
      <c r="CZ40" s="975">
        <f t="shared" si="11"/>
        <v>1372242051.072</v>
      </c>
      <c r="DA40" s="691">
        <f t="shared" si="13"/>
        <v>3767952717.2530403</v>
      </c>
      <c r="DB40" s="183">
        <f t="shared" si="21"/>
        <v>0</v>
      </c>
      <c r="DC40" s="949">
        <f t="shared" si="10"/>
        <v>2033</v>
      </c>
    </row>
    <row r="41" spans="1:107" x14ac:dyDescent="0.3">
      <c r="A41" s="690"/>
      <c r="B41" s="690"/>
      <c r="C41" s="1121">
        <f t="shared" si="23"/>
        <v>1024</v>
      </c>
      <c r="D41" s="875">
        <f t="shared" si="18"/>
        <v>21474836.48</v>
      </c>
      <c r="E41" s="875">
        <f t="shared" si="15"/>
        <v>21990232555.52</v>
      </c>
      <c r="F41" s="410"/>
      <c r="G41" s="126" t="s">
        <v>732</v>
      </c>
      <c r="BQ41" s="173" t="s">
        <v>1433</v>
      </c>
      <c r="BR41" s="1158"/>
      <c r="BS41" s="1159" t="s">
        <v>1285</v>
      </c>
      <c r="BT41" s="719">
        <f>'POP Dimensions'!H17*125%</f>
        <v>858993459.20000005</v>
      </c>
      <c r="BU41" s="88"/>
      <c r="BV41" s="253"/>
      <c r="BW41" s="253"/>
      <c r="BX41" s="1215"/>
      <c r="BY41" s="181"/>
      <c r="CB41" s="12" t="s">
        <v>979</v>
      </c>
      <c r="CH41" s="332" t="s">
        <v>989</v>
      </c>
      <c r="CI41" s="953">
        <f t="shared" si="24"/>
        <v>2034</v>
      </c>
      <c r="CJ41" s="691">
        <f t="shared" si="25"/>
        <v>117822145406386.25</v>
      </c>
      <c r="CK41" s="894">
        <f t="shared" si="26"/>
        <v>2.5000000000000001E-2</v>
      </c>
      <c r="CL41" s="691">
        <f t="shared" si="27"/>
        <v>2945553635159.6563</v>
      </c>
      <c r="CN41" s="76"/>
      <c r="CO41" s="953">
        <f t="shared" si="19"/>
        <v>2034</v>
      </c>
      <c r="CP41" s="691">
        <f t="shared" si="22"/>
        <v>10737418.24</v>
      </c>
      <c r="CQ41" s="987">
        <v>64</v>
      </c>
      <c r="CR41" s="875">
        <f t="shared" si="16"/>
        <v>687194767.36000001</v>
      </c>
      <c r="CS41" s="969"/>
      <c r="CT41" s="977"/>
      <c r="CU41" s="691">
        <f t="shared" si="17"/>
        <v>0</v>
      </c>
      <c r="CW41" s="691">
        <f t="shared" si="7"/>
        <v>0</v>
      </c>
      <c r="CX41" s="691">
        <f t="shared" si="20"/>
        <v>10977936408.576</v>
      </c>
      <c r="CY41" s="894">
        <f t="shared" si="14"/>
        <v>0.125</v>
      </c>
      <c r="CZ41" s="975">
        <f t="shared" si="11"/>
        <v>1372242051.072</v>
      </c>
      <c r="DA41" s="691">
        <f t="shared" si="13"/>
        <v>3767952717.2530403</v>
      </c>
      <c r="DB41" s="183">
        <f t="shared" si="21"/>
        <v>0</v>
      </c>
      <c r="DC41" s="949">
        <f t="shared" si="10"/>
        <v>2034</v>
      </c>
    </row>
    <row r="42" spans="1:107" x14ac:dyDescent="0.3">
      <c r="A42" s="690"/>
      <c r="B42" s="690"/>
      <c r="C42" s="1153">
        <f t="shared" si="23"/>
        <v>2048</v>
      </c>
      <c r="D42" s="899">
        <f t="shared" si="18"/>
        <v>21474836.48</v>
      </c>
      <c r="E42" s="899">
        <f t="shared" si="15"/>
        <v>43980465111.040001</v>
      </c>
      <c r="F42" s="898"/>
      <c r="G42" s="905" t="s">
        <v>732</v>
      </c>
      <c r="BQ42" s="618" t="s">
        <v>1434</v>
      </c>
      <c r="BS42" s="1155" t="s">
        <v>1278</v>
      </c>
      <c r="BT42" s="1164">
        <f>'Network Cities'!S37*4</f>
        <v>11775000002</v>
      </c>
      <c r="BU42" s="88"/>
      <c r="BV42" s="253"/>
      <c r="BW42" s="253"/>
      <c r="BX42" s="1215"/>
      <c r="BY42" s="181"/>
      <c r="CB42" s="12"/>
      <c r="CH42" s="332" t="s">
        <v>989</v>
      </c>
      <c r="CI42" s="953">
        <f t="shared" si="24"/>
        <v>2035</v>
      </c>
      <c r="CJ42" s="691">
        <f t="shared" si="25"/>
        <v>120767699041545.91</v>
      </c>
      <c r="CK42" s="894">
        <f t="shared" si="26"/>
        <v>2.5000000000000001E-2</v>
      </c>
      <c r="CL42" s="691">
        <f t="shared" si="27"/>
        <v>3019192476038.6479</v>
      </c>
      <c r="CN42" s="76"/>
      <c r="CO42" s="953">
        <f t="shared" si="19"/>
        <v>2035</v>
      </c>
      <c r="CP42" s="691">
        <f t="shared" si="22"/>
        <v>10737418.24</v>
      </c>
      <c r="CQ42" s="987">
        <v>64</v>
      </c>
      <c r="CR42" s="875">
        <f t="shared" si="16"/>
        <v>687194767.36000001</v>
      </c>
      <c r="CS42" s="969"/>
      <c r="CT42" s="977"/>
      <c r="CU42" s="691">
        <f t="shared" si="17"/>
        <v>0</v>
      </c>
      <c r="CW42" s="691">
        <f t="shared" si="7"/>
        <v>0</v>
      </c>
      <c r="CX42" s="691">
        <f t="shared" si="20"/>
        <v>10977936408.576</v>
      </c>
      <c r="CY42" s="894">
        <f t="shared" si="14"/>
        <v>0.125</v>
      </c>
      <c r="CZ42" s="975">
        <f t="shared" si="11"/>
        <v>1372242051.072</v>
      </c>
      <c r="DA42" s="691">
        <f t="shared" si="13"/>
        <v>3767952717.2530403</v>
      </c>
      <c r="DB42" s="183">
        <f t="shared" si="21"/>
        <v>0</v>
      </c>
      <c r="DC42" s="949">
        <f t="shared" si="10"/>
        <v>2035</v>
      </c>
    </row>
    <row r="43" spans="1:107" x14ac:dyDescent="0.3">
      <c r="A43" s="690"/>
      <c r="B43" s="690"/>
      <c r="C43" s="1154">
        <f t="shared" si="23"/>
        <v>4096</v>
      </c>
      <c r="D43" s="906">
        <f t="shared" si="18"/>
        <v>21474836.48</v>
      </c>
      <c r="E43" s="906">
        <f t="shared" si="15"/>
        <v>87960930222.080002</v>
      </c>
      <c r="F43" s="907"/>
      <c r="G43" s="908" t="s">
        <v>732</v>
      </c>
      <c r="BS43" s="1155" t="s">
        <v>1161</v>
      </c>
      <c r="BT43" s="1164">
        <f>'POP Dimensions'!H17*200%</f>
        <v>1374389534.72</v>
      </c>
      <c r="BU43" s="88"/>
      <c r="BV43" s="600"/>
      <c r="BW43" s="253"/>
      <c r="BX43" s="253"/>
      <c r="BY43" s="181"/>
      <c r="CB43" s="12"/>
      <c r="CH43" s="332" t="s">
        <v>989</v>
      </c>
      <c r="CI43" s="953">
        <f t="shared" si="24"/>
        <v>2036</v>
      </c>
      <c r="CJ43" s="691">
        <f t="shared" si="25"/>
        <v>123786891517584.55</v>
      </c>
      <c r="CK43" s="894">
        <f t="shared" si="26"/>
        <v>2.5000000000000001E-2</v>
      </c>
      <c r="CL43" s="691">
        <f t="shared" si="27"/>
        <v>3094672287939.6138</v>
      </c>
      <c r="CN43" s="76"/>
      <c r="CO43" s="953">
        <f t="shared" si="19"/>
        <v>2036</v>
      </c>
      <c r="CP43" s="691">
        <f t="shared" si="22"/>
        <v>10737418.24</v>
      </c>
      <c r="CQ43" s="987">
        <v>64</v>
      </c>
      <c r="CR43" s="875">
        <f t="shared" si="16"/>
        <v>687194767.36000001</v>
      </c>
      <c r="CS43" s="969"/>
      <c r="CT43" s="977"/>
      <c r="CU43" s="691">
        <f t="shared" si="17"/>
        <v>0</v>
      </c>
      <c r="CW43" s="691">
        <f t="shared" si="7"/>
        <v>0</v>
      </c>
      <c r="CX43" s="691">
        <f t="shared" si="20"/>
        <v>10977936408.576</v>
      </c>
      <c r="CY43" s="894">
        <f t="shared" si="14"/>
        <v>0.125</v>
      </c>
      <c r="CZ43" s="975">
        <f t="shared" si="11"/>
        <v>1372242051.072</v>
      </c>
      <c r="DA43" s="691">
        <f t="shared" si="13"/>
        <v>3767952717.2530403</v>
      </c>
      <c r="DB43" s="183">
        <f t="shared" si="21"/>
        <v>0</v>
      </c>
      <c r="DC43" s="949">
        <f t="shared" si="10"/>
        <v>2036</v>
      </c>
    </row>
    <row r="44" spans="1:107" x14ac:dyDescent="0.3">
      <c r="A44" s="690"/>
      <c r="B44" s="690"/>
      <c r="BQ44" s="1162" t="s">
        <v>1433</v>
      </c>
      <c r="BR44" s="1160"/>
      <c r="BS44" s="1161" t="s">
        <v>1249</v>
      </c>
      <c r="BT44" s="1164">
        <f>'POP Dimensions'!J17*150%</f>
        <v>2061584302.0799999</v>
      </c>
      <c r="BU44" s="88"/>
      <c r="BV44" s="253"/>
      <c r="BW44" s="254"/>
      <c r="BX44" s="253"/>
      <c r="BY44" s="181"/>
      <c r="CB44" s="12"/>
      <c r="CH44" s="332" t="s">
        <v>989</v>
      </c>
      <c r="CI44" s="953">
        <f t="shared" si="24"/>
        <v>2037</v>
      </c>
      <c r="CJ44" s="691">
        <f t="shared" si="25"/>
        <v>126881563805524.16</v>
      </c>
      <c r="CK44" s="894">
        <f t="shared" si="26"/>
        <v>2.5000000000000001E-2</v>
      </c>
      <c r="CL44" s="691">
        <f t="shared" si="27"/>
        <v>3172039095138.104</v>
      </c>
      <c r="CN44" s="76"/>
      <c r="CO44" s="953">
        <f t="shared" si="19"/>
        <v>2037</v>
      </c>
      <c r="CP44" s="691">
        <f t="shared" si="22"/>
        <v>10737418.24</v>
      </c>
      <c r="CQ44" s="987">
        <v>64</v>
      </c>
      <c r="CR44" s="875">
        <f t="shared" si="16"/>
        <v>687194767.36000001</v>
      </c>
      <c r="CS44" s="969"/>
      <c r="CT44" s="977"/>
      <c r="CU44" s="691">
        <f t="shared" si="17"/>
        <v>0</v>
      </c>
      <c r="CW44" s="691">
        <f t="shared" si="7"/>
        <v>0</v>
      </c>
      <c r="CX44" s="691">
        <f t="shared" si="20"/>
        <v>10977936408.576</v>
      </c>
      <c r="CY44" s="894">
        <f t="shared" si="14"/>
        <v>0.125</v>
      </c>
      <c r="CZ44" s="975">
        <f t="shared" si="11"/>
        <v>1372242051.072</v>
      </c>
      <c r="DA44" s="691">
        <f t="shared" si="13"/>
        <v>3767952717.2530403</v>
      </c>
      <c r="DB44" s="183">
        <f t="shared" si="21"/>
        <v>0</v>
      </c>
      <c r="DC44" s="949">
        <f t="shared" si="10"/>
        <v>2037</v>
      </c>
    </row>
    <row r="45" spans="1:107" x14ac:dyDescent="0.3">
      <c r="A45" s="690"/>
      <c r="B45" s="690"/>
      <c r="BQ45" s="1163" t="s">
        <v>1437</v>
      </c>
      <c r="BS45" s="1157" t="s">
        <v>148</v>
      </c>
      <c r="BT45" s="1164">
        <v>0</v>
      </c>
      <c r="BU45" s="88"/>
      <c r="BV45" s="254"/>
      <c r="BW45" s="254"/>
      <c r="BX45" s="253"/>
      <c r="BY45" s="181"/>
      <c r="CB45" s="12"/>
      <c r="CH45" s="332" t="s">
        <v>989</v>
      </c>
      <c r="CI45" s="953">
        <f t="shared" si="24"/>
        <v>2038</v>
      </c>
      <c r="CJ45" s="691">
        <f t="shared" si="25"/>
        <v>130053602900662.27</v>
      </c>
      <c r="CK45" s="894">
        <f t="shared" si="26"/>
        <v>2.5000000000000001E-2</v>
      </c>
      <c r="CL45" s="691">
        <f t="shared" si="27"/>
        <v>3251340072516.5566</v>
      </c>
      <c r="CN45" s="76"/>
      <c r="CO45" s="953">
        <f t="shared" si="19"/>
        <v>2038</v>
      </c>
      <c r="CP45" s="691">
        <f t="shared" si="22"/>
        <v>10737418.24</v>
      </c>
      <c r="CQ45" s="987">
        <v>64</v>
      </c>
      <c r="CR45" s="875">
        <f t="shared" si="16"/>
        <v>687194767.36000001</v>
      </c>
      <c r="CS45" s="969"/>
      <c r="CT45" s="977"/>
      <c r="CU45" s="691">
        <f t="shared" si="17"/>
        <v>0</v>
      </c>
      <c r="CW45" s="691">
        <f t="shared" si="7"/>
        <v>0</v>
      </c>
      <c r="CX45" s="691">
        <f t="shared" si="20"/>
        <v>10977936408.576</v>
      </c>
      <c r="CY45" s="894">
        <f t="shared" si="14"/>
        <v>0.125</v>
      </c>
      <c r="CZ45" s="975">
        <f t="shared" si="11"/>
        <v>1372242051.072</v>
      </c>
      <c r="DA45" s="691">
        <f t="shared" si="13"/>
        <v>3767952717.2530403</v>
      </c>
      <c r="DB45" s="183">
        <f t="shared" si="21"/>
        <v>0</v>
      </c>
      <c r="DC45" s="949">
        <f t="shared" si="10"/>
        <v>2038</v>
      </c>
    </row>
    <row r="46" spans="1:107" x14ac:dyDescent="0.3">
      <c r="A46" s="690"/>
      <c r="B46" s="690"/>
      <c r="BS46" s="1150" t="s">
        <v>948</v>
      </c>
      <c r="BT46" s="1216">
        <f>'2035 - ŔÉŚ 12. É99%'!BZ29</f>
        <v>18368353241.874294</v>
      </c>
      <c r="BU46" s="88"/>
      <c r="BV46" s="253"/>
      <c r="BW46" s="253"/>
      <c r="BX46" s="253"/>
      <c r="BY46" s="181" t="s">
        <v>805</v>
      </c>
      <c r="BZ46" s="1" t="s">
        <v>998</v>
      </c>
      <c r="CB46" s="19">
        <v>0.01</v>
      </c>
      <c r="CH46" s="332" t="s">
        <v>989</v>
      </c>
      <c r="CI46" s="953">
        <f t="shared" si="24"/>
        <v>2039</v>
      </c>
      <c r="CJ46" s="691">
        <f t="shared" si="25"/>
        <v>133304942973178.83</v>
      </c>
      <c r="CK46" s="894">
        <f t="shared" si="26"/>
        <v>2.5000000000000001E-2</v>
      </c>
      <c r="CL46" s="691">
        <f t="shared" si="27"/>
        <v>3332623574329.4707</v>
      </c>
      <c r="CN46" s="76"/>
      <c r="CO46" s="953">
        <f t="shared" si="19"/>
        <v>2039</v>
      </c>
      <c r="CP46" s="691">
        <f t="shared" si="22"/>
        <v>10737418.24</v>
      </c>
      <c r="CQ46" s="987">
        <v>64</v>
      </c>
      <c r="CR46" s="875">
        <f t="shared" si="16"/>
        <v>687194767.36000001</v>
      </c>
      <c r="CS46" s="969"/>
      <c r="CT46" s="977"/>
      <c r="CU46" s="691">
        <f t="shared" si="17"/>
        <v>0</v>
      </c>
      <c r="CW46" s="691">
        <f t="shared" si="7"/>
        <v>0</v>
      </c>
      <c r="CX46" s="691">
        <f t="shared" si="20"/>
        <v>10977936408.576</v>
      </c>
      <c r="CY46" s="894">
        <f t="shared" si="14"/>
        <v>0.125</v>
      </c>
      <c r="CZ46" s="975">
        <f t="shared" si="11"/>
        <v>1372242051.072</v>
      </c>
      <c r="DA46" s="691">
        <f t="shared" si="13"/>
        <v>3767952717.2530403</v>
      </c>
      <c r="DB46" s="183">
        <f t="shared" si="21"/>
        <v>0</v>
      </c>
      <c r="DC46" s="949">
        <f t="shared" si="10"/>
        <v>2039</v>
      </c>
    </row>
    <row r="47" spans="1:107" x14ac:dyDescent="0.3">
      <c r="K47" s="690"/>
      <c r="BS47" s="122" t="s">
        <v>1385</v>
      </c>
      <c r="BT47" s="183">
        <f>SUM(BT35:BT46)</f>
        <v>24374294376.674294</v>
      </c>
      <c r="BU47" s="251"/>
      <c r="BV47" s="76" t="s">
        <v>805</v>
      </c>
      <c r="BW47" s="691">
        <f>AE82</f>
        <v>6630548568.2489748</v>
      </c>
      <c r="BX47" s="76"/>
      <c r="BY47" s="691">
        <f>BW47</f>
        <v>6630548568.2489748</v>
      </c>
      <c r="BZ47" s="691">
        <f>CJ31</f>
        <v>92042471679365.094</v>
      </c>
      <c r="CA47" s="76"/>
      <c r="CB47" s="736">
        <f>BZ47*CB46</f>
        <v>920424716793.651</v>
      </c>
      <c r="CC47" s="76"/>
      <c r="CD47" s="208">
        <f>CB47/BY47</f>
        <v>138.81577177508268</v>
      </c>
      <c r="CE47" s="76"/>
      <c r="CF47" s="76"/>
      <c r="CG47" s="76"/>
      <c r="CH47" s="332" t="s">
        <v>989</v>
      </c>
      <c r="CI47" s="953">
        <f t="shared" si="24"/>
        <v>2040</v>
      </c>
      <c r="CJ47" s="691">
        <f t="shared" si="25"/>
        <v>136637566547508.3</v>
      </c>
      <c r="CK47" s="894">
        <f t="shared" si="26"/>
        <v>2.5000000000000001E-2</v>
      </c>
      <c r="CL47" s="691">
        <f t="shared" si="27"/>
        <v>3415939163687.7075</v>
      </c>
      <c r="CN47" s="76"/>
      <c r="CO47" s="953">
        <f t="shared" si="19"/>
        <v>2040</v>
      </c>
      <c r="CP47" s="691">
        <f t="shared" si="22"/>
        <v>10737418.24</v>
      </c>
      <c r="CQ47" s="987">
        <v>64</v>
      </c>
      <c r="CR47" s="875">
        <f t="shared" si="16"/>
        <v>687194767.36000001</v>
      </c>
      <c r="CS47" s="969"/>
      <c r="CT47" s="977"/>
      <c r="CU47" s="691">
        <f t="shared" si="17"/>
        <v>0</v>
      </c>
      <c r="CW47" s="691">
        <f t="shared" si="7"/>
        <v>0</v>
      </c>
      <c r="CX47" s="691">
        <f t="shared" si="20"/>
        <v>10977936408.576</v>
      </c>
      <c r="CY47" s="894">
        <f t="shared" si="14"/>
        <v>0.125</v>
      </c>
      <c r="CZ47" s="975">
        <f t="shared" si="11"/>
        <v>1372242051.072</v>
      </c>
      <c r="DA47" s="691">
        <f t="shared" si="13"/>
        <v>3767952717.2530403</v>
      </c>
      <c r="DB47" s="183">
        <f t="shared" si="21"/>
        <v>0</v>
      </c>
      <c r="DC47" s="949">
        <f t="shared" si="10"/>
        <v>2040</v>
      </c>
    </row>
    <row r="48" spans="1:107" ht="16.2" thickBot="1" x14ac:dyDescent="0.35">
      <c r="BS48" s="1150" t="s">
        <v>309</v>
      </c>
      <c r="BT48" s="182">
        <f>BT47*BT34</f>
        <v>398785504280.82404</v>
      </c>
      <c r="BX48" s="565" t="s">
        <v>894</v>
      </c>
      <c r="BY48" s="208">
        <f>BY32/BY47</f>
        <v>39.792854313862591</v>
      </c>
      <c r="BZ48" s="367"/>
      <c r="CB48" s="192">
        <f>BY60</f>
        <v>270479001765.57059</v>
      </c>
      <c r="CC48" s="193"/>
      <c r="CD48" s="1" t="s">
        <v>1339</v>
      </c>
      <c r="CH48" s="332" t="s">
        <v>989</v>
      </c>
      <c r="CI48" s="953">
        <f t="shared" si="24"/>
        <v>2041</v>
      </c>
      <c r="CJ48" s="691">
        <f t="shared" si="25"/>
        <v>140053505711196</v>
      </c>
      <c r="CK48" s="894">
        <f t="shared" si="26"/>
        <v>2.5000000000000001E-2</v>
      </c>
      <c r="CL48" s="691">
        <f t="shared" si="27"/>
        <v>3501337642779.9004</v>
      </c>
      <c r="CN48" s="76"/>
      <c r="CO48" s="953">
        <f t="shared" si="19"/>
        <v>2041</v>
      </c>
      <c r="CP48" s="691">
        <f t="shared" si="22"/>
        <v>10737418.24</v>
      </c>
      <c r="CQ48" s="987">
        <v>64</v>
      </c>
      <c r="CR48" s="875">
        <f t="shared" si="16"/>
        <v>687194767.36000001</v>
      </c>
      <c r="CS48" s="969"/>
      <c r="CT48" s="977"/>
      <c r="CU48" s="691">
        <f t="shared" si="17"/>
        <v>0</v>
      </c>
      <c r="CW48" s="691">
        <f t="shared" si="7"/>
        <v>0</v>
      </c>
      <c r="CX48" s="691">
        <f t="shared" si="20"/>
        <v>10977936408.576</v>
      </c>
      <c r="CY48" s="894">
        <f t="shared" si="14"/>
        <v>0.125</v>
      </c>
      <c r="CZ48" s="975">
        <f t="shared" si="11"/>
        <v>1372242051.072</v>
      </c>
      <c r="DA48" s="691">
        <f t="shared" si="13"/>
        <v>3767952717.2530403</v>
      </c>
      <c r="DB48" s="183">
        <f t="shared" si="21"/>
        <v>0</v>
      </c>
      <c r="DC48" s="949">
        <f t="shared" si="10"/>
        <v>2041</v>
      </c>
    </row>
    <row r="49" spans="3:107" ht="16.2" thickBot="1" x14ac:dyDescent="0.35">
      <c r="C49" s="1" t="s">
        <v>801</v>
      </c>
      <c r="BS49" s="1150" t="s">
        <v>308</v>
      </c>
      <c r="BT49" s="182">
        <f>BT48*BU49</f>
        <v>263848453197.32162</v>
      </c>
      <c r="BU49" s="680">
        <v>0.66163000000000005</v>
      </c>
      <c r="BV49" s="1" t="s">
        <v>1275</v>
      </c>
      <c r="BX49" s="565" t="s">
        <v>888</v>
      </c>
      <c r="BY49" s="953">
        <v>8</v>
      </c>
      <c r="BZ49" s="1" t="s">
        <v>889</v>
      </c>
      <c r="CD49" s="1" t="s">
        <v>1340</v>
      </c>
      <c r="CH49" s="332" t="s">
        <v>989</v>
      </c>
      <c r="CI49" s="953">
        <f t="shared" si="24"/>
        <v>2042</v>
      </c>
      <c r="CJ49" s="691">
        <f t="shared" si="25"/>
        <v>143554843353975.91</v>
      </c>
      <c r="CK49" s="894">
        <f t="shared" si="26"/>
        <v>2.5000000000000001E-2</v>
      </c>
      <c r="CL49" s="691">
        <f t="shared" si="27"/>
        <v>3588871083849.3979</v>
      </c>
      <c r="CN49" s="76"/>
      <c r="CO49" s="953">
        <f t="shared" si="19"/>
        <v>2042</v>
      </c>
      <c r="CP49" s="691">
        <f t="shared" si="22"/>
        <v>10737418.24</v>
      </c>
      <c r="CQ49" s="987">
        <v>64</v>
      </c>
      <c r="CR49" s="875">
        <f t="shared" si="16"/>
        <v>687194767.36000001</v>
      </c>
      <c r="CS49" s="969"/>
      <c r="CT49" s="977"/>
      <c r="CU49" s="691">
        <f t="shared" si="17"/>
        <v>0</v>
      </c>
      <c r="CW49" s="691">
        <f t="shared" si="7"/>
        <v>0</v>
      </c>
      <c r="CX49" s="691">
        <f t="shared" si="20"/>
        <v>10977936408.576</v>
      </c>
      <c r="CY49" s="894">
        <f t="shared" si="14"/>
        <v>0.125</v>
      </c>
      <c r="CZ49" s="975">
        <f t="shared" si="11"/>
        <v>1372242051.072</v>
      </c>
      <c r="DA49" s="691">
        <f t="shared" si="13"/>
        <v>3767952717.2530403</v>
      </c>
      <c r="DB49" s="183">
        <f t="shared" si="21"/>
        <v>0</v>
      </c>
      <c r="DC49" s="949">
        <f t="shared" si="10"/>
        <v>2042</v>
      </c>
    </row>
    <row r="50" spans="3:107" x14ac:dyDescent="0.3">
      <c r="C50" s="13"/>
      <c r="D50" s="4"/>
      <c r="E50" s="120" t="s">
        <v>275</v>
      </c>
      <c r="F50" s="4"/>
      <c r="G50" s="173" t="s">
        <v>288</v>
      </c>
      <c r="H50" s="462" t="s">
        <v>1367</v>
      </c>
      <c r="I50" s="170" t="s">
        <v>1373</v>
      </c>
      <c r="J50" s="175" t="s">
        <v>297</v>
      </c>
      <c r="K50" s="170" t="s">
        <v>802</v>
      </c>
      <c r="BT50" s="239"/>
      <c r="BV50" s="1" t="s">
        <v>1276</v>
      </c>
      <c r="BX50" s="565" t="s">
        <v>890</v>
      </c>
      <c r="BY50" s="208">
        <f>BY48/BY49</f>
        <v>4.9741067892328239</v>
      </c>
      <c r="CH50" s="332" t="s">
        <v>989</v>
      </c>
      <c r="CI50" s="953">
        <f t="shared" si="24"/>
        <v>2043</v>
      </c>
      <c r="CJ50" s="691">
        <f t="shared" si="25"/>
        <v>147143714437825.31</v>
      </c>
      <c r="CK50" s="894">
        <f t="shared" si="26"/>
        <v>2.5000000000000001E-2</v>
      </c>
      <c r="CL50" s="691">
        <f t="shared" si="27"/>
        <v>3678592860945.6328</v>
      </c>
      <c r="CN50" s="76"/>
      <c r="CO50" s="953">
        <f t="shared" si="19"/>
        <v>2043</v>
      </c>
      <c r="CP50" s="691">
        <f t="shared" si="22"/>
        <v>10737418.24</v>
      </c>
      <c r="CQ50" s="987">
        <v>64</v>
      </c>
      <c r="CR50" s="875">
        <f t="shared" si="16"/>
        <v>687194767.36000001</v>
      </c>
      <c r="CS50" s="969"/>
      <c r="CT50" s="977"/>
      <c r="CU50" s="691">
        <f t="shared" si="17"/>
        <v>0</v>
      </c>
      <c r="CW50" s="691">
        <f t="shared" si="7"/>
        <v>0</v>
      </c>
      <c r="CX50" s="691">
        <f t="shared" si="20"/>
        <v>10977936408.576</v>
      </c>
      <c r="CY50" s="894">
        <f t="shared" si="14"/>
        <v>0.125</v>
      </c>
      <c r="CZ50" s="975">
        <f t="shared" si="11"/>
        <v>1372242051.072</v>
      </c>
      <c r="DA50" s="691">
        <f t="shared" si="13"/>
        <v>3767952717.2530403</v>
      </c>
      <c r="DB50" s="183">
        <f t="shared" si="21"/>
        <v>0</v>
      </c>
      <c r="DC50" s="949">
        <f t="shared" si="10"/>
        <v>2043</v>
      </c>
    </row>
    <row r="51" spans="3:107" x14ac:dyDescent="0.3">
      <c r="C51" s="122"/>
      <c r="D51" s="7"/>
      <c r="E51" s="875">
        <f>E8</f>
        <v>24374294376.674294</v>
      </c>
      <c r="F51" s="7"/>
      <c r="G51" s="468" t="s">
        <v>1386</v>
      </c>
      <c r="H51" s="469"/>
      <c r="I51" s="470"/>
      <c r="J51" s="471"/>
      <c r="K51" s="470"/>
      <c r="BT51" s="277" t="s">
        <v>748</v>
      </c>
      <c r="BX51" s="239"/>
      <c r="BY51" s="76"/>
      <c r="CH51" s="332" t="s">
        <v>989</v>
      </c>
      <c r="CI51" s="953">
        <f t="shared" si="24"/>
        <v>2044</v>
      </c>
      <c r="CJ51" s="691">
        <f t="shared" si="25"/>
        <v>150822307298770.94</v>
      </c>
      <c r="CK51" s="894">
        <f t="shared" si="26"/>
        <v>2.5000000000000001E-2</v>
      </c>
      <c r="CL51" s="691">
        <f t="shared" si="27"/>
        <v>3770557682469.2734</v>
      </c>
      <c r="CN51" s="76"/>
      <c r="CO51" s="953">
        <f t="shared" si="19"/>
        <v>2044</v>
      </c>
      <c r="CP51" s="691">
        <f t="shared" si="22"/>
        <v>10737418.24</v>
      </c>
      <c r="CQ51" s="987">
        <v>64</v>
      </c>
      <c r="CR51" s="875">
        <f t="shared" si="16"/>
        <v>687194767.36000001</v>
      </c>
      <c r="CS51" s="969"/>
      <c r="CT51" s="977"/>
      <c r="CU51" s="691">
        <f t="shared" si="17"/>
        <v>0</v>
      </c>
      <c r="CW51" s="691">
        <f t="shared" si="7"/>
        <v>0</v>
      </c>
      <c r="CX51" s="691">
        <f t="shared" si="20"/>
        <v>10977936408.576</v>
      </c>
      <c r="CY51" s="894">
        <f t="shared" si="14"/>
        <v>0.125</v>
      </c>
      <c r="CZ51" s="975">
        <f t="shared" si="11"/>
        <v>1372242051.072</v>
      </c>
      <c r="DA51" s="691">
        <f t="shared" si="13"/>
        <v>3767952717.2530403</v>
      </c>
      <c r="DB51" s="183">
        <f t="shared" si="21"/>
        <v>0</v>
      </c>
      <c r="DC51" s="949">
        <f t="shared" si="10"/>
        <v>2044</v>
      </c>
    </row>
    <row r="52" spans="3:107" ht="16.2" thickBot="1" x14ac:dyDescent="0.35">
      <c r="C52" s="122"/>
      <c r="D52" s="7"/>
      <c r="E52" s="7"/>
      <c r="F52" s="127"/>
      <c r="G52" s="127" t="s">
        <v>280</v>
      </c>
      <c r="H52" s="7"/>
      <c r="I52" s="459" t="s">
        <v>282</v>
      </c>
      <c r="J52" s="122"/>
      <c r="K52" s="8"/>
      <c r="BT52" s="277" t="s">
        <v>747</v>
      </c>
      <c r="BV52" s="110" t="s">
        <v>746</v>
      </c>
      <c r="BX52" s="565" t="s">
        <v>891</v>
      </c>
      <c r="BY52" s="76"/>
      <c r="CH52" s="332" t="s">
        <v>989</v>
      </c>
      <c r="CI52" s="953">
        <f t="shared" si="24"/>
        <v>2045</v>
      </c>
      <c r="CJ52" s="691">
        <f t="shared" si="25"/>
        <v>154592864981240.22</v>
      </c>
      <c r="CK52" s="894">
        <f t="shared" si="26"/>
        <v>2.5000000000000001E-2</v>
      </c>
      <c r="CL52" s="691">
        <f t="shared" si="27"/>
        <v>3864821624531.0059</v>
      </c>
      <c r="CN52" s="76"/>
      <c r="CO52" s="953">
        <f t="shared" si="19"/>
        <v>2045</v>
      </c>
      <c r="CP52" s="691">
        <f t="shared" si="22"/>
        <v>10737418.24</v>
      </c>
      <c r="CQ52" s="987">
        <v>64</v>
      </c>
      <c r="CR52" s="875">
        <f t="shared" si="16"/>
        <v>687194767.36000001</v>
      </c>
      <c r="CS52" s="969"/>
      <c r="CT52" s="977"/>
      <c r="CU52" s="691">
        <f t="shared" si="17"/>
        <v>0</v>
      </c>
      <c r="CW52" s="691">
        <f t="shared" si="7"/>
        <v>0</v>
      </c>
      <c r="CX52" s="691">
        <f t="shared" si="20"/>
        <v>10977936408.576</v>
      </c>
      <c r="CY52" s="894">
        <f t="shared" si="14"/>
        <v>0.125</v>
      </c>
      <c r="CZ52" s="975">
        <f t="shared" si="11"/>
        <v>1372242051.072</v>
      </c>
      <c r="DA52" s="691">
        <f t="shared" si="13"/>
        <v>3767952717.2530403</v>
      </c>
      <c r="DB52" s="183">
        <f t="shared" si="21"/>
        <v>0</v>
      </c>
      <c r="DC52" s="949">
        <f t="shared" si="10"/>
        <v>2045</v>
      </c>
    </row>
    <row r="53" spans="3:107" ht="16.2" thickBot="1" x14ac:dyDescent="0.35">
      <c r="C53" s="122"/>
      <c r="D53" s="7"/>
      <c r="E53" s="7"/>
      <c r="F53" s="129">
        <v>0.25</v>
      </c>
      <c r="G53" s="130">
        <f>E57*F53</f>
        <v>338660705.26298249</v>
      </c>
      <c r="H53" s="460">
        <v>0.5</v>
      </c>
      <c r="I53" s="130">
        <f>G53*H53</f>
        <v>169330352.63149124</v>
      </c>
      <c r="J53" s="460">
        <v>0</v>
      </c>
      <c r="K53" s="458">
        <f>I53*J53</f>
        <v>0</v>
      </c>
      <c r="BR53" s="933">
        <f>BU53</f>
        <v>1024</v>
      </c>
      <c r="BS53" s="927" t="s">
        <v>745</v>
      </c>
      <c r="BT53" s="578">
        <f>BV53*BU53</f>
        <v>21990232555.52</v>
      </c>
      <c r="BU53" s="934">
        <v>1024</v>
      </c>
      <c r="BV53" s="578">
        <f>'POP Dimensions'!J15</f>
        <v>21474836.48</v>
      </c>
      <c r="BW53" s="239"/>
      <c r="BX53" s="565" t="s">
        <v>901</v>
      </c>
      <c r="BY53" s="484">
        <v>0.17</v>
      </c>
      <c r="BZ53" s="1" t="s">
        <v>895</v>
      </c>
      <c r="CH53" s="332" t="s">
        <v>989</v>
      </c>
      <c r="CI53" s="953">
        <f t="shared" si="24"/>
        <v>2046</v>
      </c>
      <c r="CJ53" s="691">
        <f t="shared" si="25"/>
        <v>158457686605771.22</v>
      </c>
      <c r="CK53" s="894">
        <f t="shared" si="26"/>
        <v>2.5000000000000001E-2</v>
      </c>
      <c r="CL53" s="691">
        <f t="shared" si="27"/>
        <v>3961442165144.2808</v>
      </c>
      <c r="CN53" s="76"/>
      <c r="CO53" s="953">
        <f t="shared" si="19"/>
        <v>2046</v>
      </c>
      <c r="CP53" s="691">
        <f t="shared" si="22"/>
        <v>10737418.24</v>
      </c>
      <c r="CQ53" s="987">
        <v>64</v>
      </c>
      <c r="CR53" s="875">
        <f t="shared" si="16"/>
        <v>687194767.36000001</v>
      </c>
      <c r="CS53" s="969"/>
      <c r="CT53" s="977"/>
      <c r="CU53" s="691">
        <f t="shared" si="17"/>
        <v>0</v>
      </c>
      <c r="CW53" s="691">
        <f t="shared" si="7"/>
        <v>0</v>
      </c>
      <c r="CX53" s="691">
        <f t="shared" si="20"/>
        <v>10977936408.576</v>
      </c>
      <c r="CY53" s="894">
        <f t="shared" si="14"/>
        <v>0.125</v>
      </c>
      <c r="CZ53" s="975">
        <f t="shared" si="11"/>
        <v>1372242051.072</v>
      </c>
      <c r="DA53" s="691">
        <f t="shared" si="13"/>
        <v>3767952717.2530403</v>
      </c>
      <c r="DB53" s="183">
        <f t="shared" si="21"/>
        <v>0</v>
      </c>
      <c r="DC53" s="949">
        <f t="shared" si="10"/>
        <v>2046</v>
      </c>
    </row>
    <row r="54" spans="3:107" ht="16.2" thickBot="1" x14ac:dyDescent="0.35">
      <c r="C54" s="122"/>
      <c r="D54" s="7"/>
      <c r="E54" s="7"/>
      <c r="F54" s="133"/>
      <c r="G54" s="134" t="s">
        <v>290</v>
      </c>
      <c r="H54" s="7"/>
      <c r="I54" s="457" t="s">
        <v>283</v>
      </c>
      <c r="J54" s="122"/>
      <c r="K54" s="8"/>
      <c r="BR54" s="927"/>
      <c r="BT54" s="999" t="s">
        <v>1355</v>
      </c>
      <c r="BU54" s="254"/>
      <c r="BV54" s="248" t="s">
        <v>1290</v>
      </c>
      <c r="BX54" s="566"/>
      <c r="BY54" s="76"/>
      <c r="CH54" s="332" t="s">
        <v>989</v>
      </c>
      <c r="CI54" s="953">
        <f t="shared" si="24"/>
        <v>2047</v>
      </c>
      <c r="CJ54" s="691">
        <f t="shared" si="25"/>
        <v>162419128770915.5</v>
      </c>
      <c r="CK54" s="894">
        <f t="shared" si="26"/>
        <v>2.5000000000000001E-2</v>
      </c>
      <c r="CL54" s="691">
        <f t="shared" si="27"/>
        <v>4060478219272.8877</v>
      </c>
      <c r="CN54" s="76"/>
      <c r="CO54" s="953">
        <f t="shared" si="19"/>
        <v>2047</v>
      </c>
      <c r="CP54" s="691">
        <f t="shared" si="22"/>
        <v>10737418.24</v>
      </c>
      <c r="CQ54" s="987">
        <v>64</v>
      </c>
      <c r="CR54" s="875">
        <f t="shared" si="16"/>
        <v>687194767.36000001</v>
      </c>
      <c r="CS54" s="969"/>
      <c r="CT54" s="977"/>
      <c r="CU54" s="691">
        <f t="shared" si="17"/>
        <v>0</v>
      </c>
      <c r="CW54" s="691">
        <f t="shared" si="7"/>
        <v>0</v>
      </c>
      <c r="CX54" s="691">
        <f t="shared" si="20"/>
        <v>10977936408.576</v>
      </c>
      <c r="CY54" s="894">
        <f t="shared" si="14"/>
        <v>0.125</v>
      </c>
      <c r="CZ54" s="975">
        <f t="shared" si="11"/>
        <v>1372242051.072</v>
      </c>
      <c r="DA54" s="691">
        <f t="shared" si="13"/>
        <v>3767952717.2530403</v>
      </c>
      <c r="DB54" s="183">
        <f t="shared" si="21"/>
        <v>0</v>
      </c>
      <c r="DC54" s="949">
        <f t="shared" si="10"/>
        <v>2047</v>
      </c>
    </row>
    <row r="55" spans="3:107" ht="16.2" thickBot="1" x14ac:dyDescent="0.35">
      <c r="C55" s="122"/>
      <c r="D55" s="7"/>
      <c r="E55" s="7"/>
      <c r="F55" s="133">
        <v>0.25</v>
      </c>
      <c r="G55" s="135">
        <f>E57*F55</f>
        <v>338660705.26298249</v>
      </c>
      <c r="H55" s="461">
        <v>0.9</v>
      </c>
      <c r="I55" s="135">
        <f>G55*H55</f>
        <v>304794634.73668426</v>
      </c>
      <c r="J55" s="461">
        <v>0</v>
      </c>
      <c r="K55" s="440">
        <f>I55*J55</f>
        <v>0</v>
      </c>
      <c r="BR55" s="239"/>
      <c r="BT55" s="1002" t="s">
        <v>867</v>
      </c>
      <c r="BU55" s="254"/>
      <c r="BV55" s="253"/>
      <c r="BX55" s="239"/>
      <c r="BY55" s="484">
        <v>0.17</v>
      </c>
      <c r="BZ55" s="32">
        <f>BY55</f>
        <v>0.17</v>
      </c>
      <c r="CH55" s="332" t="s">
        <v>989</v>
      </c>
      <c r="CI55" s="953">
        <f t="shared" si="24"/>
        <v>2048</v>
      </c>
      <c r="CJ55" s="691">
        <f t="shared" si="25"/>
        <v>166479606990188.38</v>
      </c>
      <c r="CK55" s="894">
        <f t="shared" si="26"/>
        <v>2.5000000000000001E-2</v>
      </c>
      <c r="CL55" s="691">
        <f t="shared" si="27"/>
        <v>4161990174754.7095</v>
      </c>
      <c r="CM55" s="895" t="s">
        <v>1280</v>
      </c>
      <c r="CN55" s="76"/>
      <c r="CO55" s="953">
        <f t="shared" si="19"/>
        <v>2048</v>
      </c>
      <c r="CP55" s="691">
        <f t="shared" si="22"/>
        <v>10737418.24</v>
      </c>
      <c r="CQ55" s="987">
        <v>64</v>
      </c>
      <c r="CR55" s="875">
        <f t="shared" si="16"/>
        <v>687194767.36000001</v>
      </c>
      <c r="CS55" s="969"/>
      <c r="CT55" s="977"/>
      <c r="CU55" s="691">
        <f t="shared" si="17"/>
        <v>0</v>
      </c>
      <c r="CW55" s="691">
        <f t="shared" si="7"/>
        <v>0</v>
      </c>
      <c r="CX55" s="691">
        <f t="shared" si="20"/>
        <v>10977936408.576</v>
      </c>
      <c r="CY55" s="894">
        <f t="shared" si="14"/>
        <v>0.125</v>
      </c>
      <c r="CZ55" s="975">
        <f t="shared" si="11"/>
        <v>1372242051.072</v>
      </c>
      <c r="DA55" s="691">
        <f t="shared" si="13"/>
        <v>3767952717.2530403</v>
      </c>
      <c r="DB55" s="183">
        <f t="shared" si="21"/>
        <v>0</v>
      </c>
      <c r="DC55" s="949">
        <f t="shared" si="10"/>
        <v>2048</v>
      </c>
    </row>
    <row r="56" spans="3:107" ht="18.600000000000001" thickBot="1" x14ac:dyDescent="0.4">
      <c r="C56" s="122"/>
      <c r="D56" s="7"/>
      <c r="E56" s="7"/>
      <c r="F56" s="136"/>
      <c r="G56" s="136" t="s">
        <v>279</v>
      </c>
      <c r="H56" s="7"/>
      <c r="I56" s="451" t="s">
        <v>284</v>
      </c>
      <c r="J56" s="122"/>
      <c r="K56" s="8"/>
      <c r="S56" s="88"/>
      <c r="BR56" s="239"/>
      <c r="BT56" s="719">
        <f>BT48-BT53</f>
        <v>376795271725.30402</v>
      </c>
      <c r="BU56" s="253"/>
      <c r="BV56" s="253"/>
      <c r="BW56" s="253"/>
      <c r="BX56" s="239" t="s">
        <v>892</v>
      </c>
      <c r="BY56" s="615">
        <f>BZ58</f>
        <v>29.259451701369549</v>
      </c>
      <c r="BZ56" s="569" t="s">
        <v>980</v>
      </c>
      <c r="CA56" s="569"/>
      <c r="CB56" s="181"/>
      <c r="CC56" s="181"/>
      <c r="CD56" s="252"/>
      <c r="CE56" s="252"/>
      <c r="CF56" s="252"/>
      <c r="CG56" s="252"/>
      <c r="CM56" s="1"/>
      <c r="CS56" s="979">
        <f>SUM(CS22:CS55)</f>
        <v>15.975</v>
      </c>
      <c r="CT56" s="979">
        <f>SUM(CT22:CT55)</f>
        <v>0</v>
      </c>
    </row>
    <row r="57" spans="3:107" ht="16.8" thickTop="1" thickBot="1" x14ac:dyDescent="0.35">
      <c r="C57" s="137" t="s">
        <v>291</v>
      </c>
      <c r="D57" s="138">
        <f>E57/E51</f>
        <v>5.5576698964803502E-2</v>
      </c>
      <c r="E57" s="139">
        <f>E14</f>
        <v>1354642821.05193</v>
      </c>
      <c r="F57" s="140">
        <v>0.5</v>
      </c>
      <c r="G57" s="139">
        <f>E57*F57</f>
        <v>677321410.52596498</v>
      </c>
      <c r="H57" s="463">
        <v>0.95</v>
      </c>
      <c r="I57" s="139">
        <f>G57*H57</f>
        <v>643455339.99966669</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48"/>
      <c r="BS57" s="937" t="s">
        <v>1293</v>
      </c>
      <c r="BT57" s="1003"/>
      <c r="BU57" s="253"/>
      <c r="BV57" s="877" t="s">
        <v>1293</v>
      </c>
      <c r="BW57" s="252"/>
      <c r="BX57" s="239"/>
      <c r="BY57" s="208">
        <f>BY50</f>
        <v>4.9741067892328239</v>
      </c>
      <c r="BZ57" s="80">
        <f>BY57</f>
        <v>4.9741067892328239</v>
      </c>
      <c r="CW57" s="77" t="s">
        <v>966</v>
      </c>
      <c r="CX57" s="77"/>
      <c r="CY57" s="77" t="s">
        <v>965</v>
      </c>
      <c r="CZ57" s="77"/>
      <c r="DA57" s="77"/>
    </row>
    <row r="58" spans="3:107"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48"/>
      <c r="BS58" s="937" t="s">
        <v>1294</v>
      </c>
      <c r="BT58" s="996">
        <f>BT56*BU58</f>
        <v>3767952717.2530403</v>
      </c>
      <c r="BU58" s="923">
        <v>0.01</v>
      </c>
      <c r="BV58" s="924" t="s">
        <v>1443</v>
      </c>
      <c r="BW58" s="925"/>
      <c r="BX58" s="239"/>
      <c r="BY58" s="76"/>
      <c r="BZ58" s="1">
        <f>BZ57/BZ55</f>
        <v>29.259451701369549</v>
      </c>
      <c r="CW58" s="77" t="s">
        <v>785</v>
      </c>
      <c r="CX58" s="77"/>
      <c r="CY58" s="77" t="s">
        <v>962</v>
      </c>
      <c r="CZ58" s="77"/>
      <c r="DA58" s="77"/>
    </row>
    <row r="59" spans="3:107"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76"/>
      <c r="BQ59" s="410"/>
      <c r="BR59" s="928"/>
      <c r="BS59" s="948" t="s">
        <v>1295</v>
      </c>
      <c r="BT59" s="911">
        <f>BT56*BU59</f>
        <v>7535905434.5060806</v>
      </c>
      <c r="BU59" s="912">
        <v>0.02</v>
      </c>
      <c r="BV59" s="875" t="s">
        <v>1162</v>
      </c>
      <c r="BW59" s="126"/>
      <c r="BX59" s="239"/>
      <c r="BY59" s="76"/>
      <c r="CD59" s="32"/>
    </row>
    <row r="60" spans="3:107" ht="16.2" thickBot="1" x14ac:dyDescent="0.35">
      <c r="C60" s="397" t="s">
        <v>276</v>
      </c>
      <c r="D60" s="398">
        <f>100%-D57-D63</f>
        <v>0.78125</v>
      </c>
      <c r="E60" s="399">
        <f>E51*D60</f>
        <v>19042417481.776791</v>
      </c>
      <c r="F60" s="400">
        <v>1</v>
      </c>
      <c r="G60" s="399">
        <f>E60*F60</f>
        <v>19042417481.776791</v>
      </c>
      <c r="H60" s="464">
        <v>0.9</v>
      </c>
      <c r="I60" s="399">
        <f>G60*H60</f>
        <v>17138175733.599112</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76"/>
      <c r="BQ60" s="76"/>
      <c r="BR60" s="239"/>
      <c r="BS60" s="948" t="s">
        <v>1296</v>
      </c>
      <c r="BT60" s="911">
        <f>BT56*BU60</f>
        <v>15071810869.012161</v>
      </c>
      <c r="BU60" s="912">
        <v>0.04</v>
      </c>
      <c r="BV60" s="875" t="s">
        <v>1441</v>
      </c>
      <c r="BW60" s="126"/>
      <c r="BX60" s="239"/>
      <c r="BY60" s="691">
        <f>BY32+BY47</f>
        <v>270479001765.57059</v>
      </c>
      <c r="BZ60" s="1" t="s">
        <v>958</v>
      </c>
      <c r="CM60" s="1"/>
      <c r="CQ60" s="1"/>
      <c r="DB60" s="1"/>
      <c r="DC60" s="1"/>
    </row>
    <row r="61" spans="3:107"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76"/>
      <c r="BQ61" s="410"/>
      <c r="BR61" s="927"/>
      <c r="BS61" s="948" t="s">
        <v>1297</v>
      </c>
      <c r="BT61" s="911">
        <f>BT56*BU61</f>
        <v>22607716303.518242</v>
      </c>
      <c r="BU61" s="912">
        <v>0.06</v>
      </c>
      <c r="BV61" s="875" t="s">
        <v>1303</v>
      </c>
      <c r="BW61" s="126"/>
      <c r="BX61" s="253"/>
      <c r="BY61" s="647">
        <f>BY60/BY47</f>
        <v>40.792854313862584</v>
      </c>
    </row>
    <row r="62" spans="3:107"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76"/>
      <c r="BQ62" s="76"/>
      <c r="BR62" s="239"/>
      <c r="BS62" s="948" t="s">
        <v>1300</v>
      </c>
      <c r="BT62" s="911">
        <f>BT56*BU62</f>
        <v>33911574455.277359</v>
      </c>
      <c r="BU62" s="912">
        <v>0.09</v>
      </c>
      <c r="BV62" s="410" t="s">
        <v>1442</v>
      </c>
      <c r="BW62" s="126"/>
      <c r="BX62" s="253"/>
    </row>
    <row r="63" spans="3:107" ht="16.2" thickBot="1" x14ac:dyDescent="0.35">
      <c r="C63" s="149" t="s">
        <v>737</v>
      </c>
      <c r="D63" s="150">
        <f>E63/E51</f>
        <v>0.16317330103519651</v>
      </c>
      <c r="E63" s="151">
        <f>E21</f>
        <v>3977234073.845572</v>
      </c>
      <c r="F63" s="152">
        <v>0.3</v>
      </c>
      <c r="G63" s="151">
        <f>E63*F63</f>
        <v>1193170222.1536715</v>
      </c>
      <c r="H63" s="465">
        <v>0.9</v>
      </c>
      <c r="I63" s="151">
        <f>G63*H63</f>
        <v>1073853199.9383044</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926"/>
      <c r="BP63" s="410"/>
      <c r="BQ63" s="410"/>
      <c r="BR63" s="927"/>
      <c r="BS63" s="948" t="s">
        <v>1305</v>
      </c>
      <c r="BT63" s="911">
        <f>BT56*BU63</f>
        <v>15071810869.012161</v>
      </c>
      <c r="BU63" s="912">
        <v>0.04</v>
      </c>
      <c r="BV63" s="410" t="s">
        <v>148</v>
      </c>
      <c r="BW63" s="126"/>
      <c r="BX63" s="253"/>
    </row>
    <row r="64" spans="3:107"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M64" s="88"/>
      <c r="BO64" s="106"/>
      <c r="BP64" s="964"/>
      <c r="BQ64" s="106"/>
      <c r="BR64" s="929"/>
      <c r="BS64" s="938"/>
      <c r="BT64" s="1004"/>
      <c r="BU64" s="1005"/>
      <c r="BV64" s="1005"/>
      <c r="BW64" s="903"/>
      <c r="BX64" s="253"/>
    </row>
    <row r="65" spans="3:107" ht="16.2" thickBot="1" x14ac:dyDescent="0.35">
      <c r="C65" s="141"/>
      <c r="D65" s="429"/>
      <c r="E65" s="371"/>
      <c r="F65" s="430">
        <v>0.25</v>
      </c>
      <c r="G65" s="432">
        <f>E63*F65</f>
        <v>994308518.461393</v>
      </c>
      <c r="H65" s="466">
        <v>0.95</v>
      </c>
      <c r="I65" s="432">
        <f>G65*H65</f>
        <v>944593092.53832328</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M65" s="88"/>
      <c r="BO65" s="106"/>
      <c r="BP65" s="964"/>
      <c r="BQ65" s="106"/>
      <c r="BR65" s="927"/>
      <c r="BS65" s="939" t="s">
        <v>1299</v>
      </c>
      <c r="BT65" s="1006">
        <f>BT53</f>
        <v>21990232555.52</v>
      </c>
      <c r="BU65" s="935">
        <f>BT65/BT56</f>
        <v>5.8361222142807548E-2</v>
      </c>
      <c r="BV65" s="898" t="s">
        <v>1311</v>
      </c>
      <c r="BW65" s="905"/>
      <c r="BX65" s="253"/>
    </row>
    <row r="66" spans="3:107"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M66" s="88"/>
      <c r="BN66" s="88"/>
      <c r="BO66" s="106"/>
      <c r="BP66" s="964"/>
      <c r="BQ66" s="106"/>
      <c r="BR66" s="106"/>
      <c r="BS66" s="940" t="s">
        <v>1325</v>
      </c>
      <c r="BT66" s="930">
        <f>BT56*BU66</f>
        <v>3767952717.2530403</v>
      </c>
      <c r="BU66" s="931">
        <v>0.01</v>
      </c>
      <c r="BV66" s="898" t="s">
        <v>1315</v>
      </c>
      <c r="BW66" s="905"/>
      <c r="BX66" s="946">
        <v>272</v>
      </c>
      <c r="BY66" s="181" t="s">
        <v>1314</v>
      </c>
    </row>
    <row r="67" spans="3:107" ht="16.2" thickBot="1" x14ac:dyDescent="0.35">
      <c r="C67" s="122"/>
      <c r="D67" s="7"/>
      <c r="E67" s="7"/>
      <c r="F67" s="153">
        <v>0.2</v>
      </c>
      <c r="G67" s="99">
        <f>E63*F67</f>
        <v>795446814.76911449</v>
      </c>
      <c r="H67" s="467">
        <v>0.9</v>
      </c>
      <c r="I67" s="99">
        <f>G67*H67</f>
        <v>715902133.29220307</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M67" s="88"/>
      <c r="BO67" s="106"/>
      <c r="BP67" s="964"/>
      <c r="BQ67" s="106"/>
      <c r="BR67" s="106"/>
      <c r="BS67" s="940" t="s">
        <v>1307</v>
      </c>
      <c r="BT67" s="930">
        <f>BT56*BU67</f>
        <v>18839763586.265202</v>
      </c>
      <c r="BU67" s="931">
        <v>0.05</v>
      </c>
      <c r="BV67" s="898" t="s">
        <v>1323</v>
      </c>
      <c r="BW67" s="905"/>
      <c r="BX67" s="945">
        <v>100</v>
      </c>
      <c r="BY67" s="938">
        <f>BX66*BX67</f>
        <v>27200</v>
      </c>
      <c r="BZ67" s="1" t="s">
        <v>1316</v>
      </c>
    </row>
    <row r="68" spans="3:107"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M68" s="88"/>
      <c r="BN68" s="88"/>
      <c r="BO68" s="106"/>
      <c r="BP68" s="964"/>
      <c r="BQ68" s="106"/>
      <c r="BR68" s="251"/>
      <c r="BS68" s="940" t="s">
        <v>1308</v>
      </c>
      <c r="BT68" s="930">
        <f>BT56*BU68</f>
        <v>11303858151.759121</v>
      </c>
      <c r="BU68" s="931">
        <v>0.03</v>
      </c>
      <c r="BV68" s="898" t="s">
        <v>1438</v>
      </c>
      <c r="BW68" s="905"/>
      <c r="BX68" s="600"/>
      <c r="BY68" s="1">
        <v>1000</v>
      </c>
      <c r="BZ68" s="1" t="s">
        <v>226</v>
      </c>
    </row>
    <row r="69" spans="3:107" ht="16.2" thickBot="1" x14ac:dyDescent="0.35">
      <c r="C69" s="122"/>
      <c r="D69" s="7"/>
      <c r="E69" s="7"/>
      <c r="F69" s="438">
        <v>0.2</v>
      </c>
      <c r="G69" s="446">
        <f>E63*F69</f>
        <v>795446814.76911449</v>
      </c>
      <c r="H69" s="447">
        <v>0.25</v>
      </c>
      <c r="I69" s="446">
        <f>G69*H69</f>
        <v>198861703.69227862</v>
      </c>
      <c r="J69" s="447">
        <v>0</v>
      </c>
      <c r="K69" s="439">
        <f>I69*J69</f>
        <v>0</v>
      </c>
      <c r="Q69" s="240" t="s">
        <v>952</v>
      </c>
      <c r="S69" s="88"/>
      <c r="W69" s="691">
        <f>BW47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88"/>
      <c r="BM69" s="88"/>
      <c r="BN69" s="88"/>
      <c r="BO69" s="88"/>
      <c r="BP69" s="958"/>
      <c r="BQ69" s="88"/>
      <c r="BR69" s="88"/>
      <c r="BS69" s="940" t="s">
        <v>1317</v>
      </c>
      <c r="BT69" s="930">
        <f>BT56*BU69</f>
        <v>11303858151.759121</v>
      </c>
      <c r="BU69" s="931">
        <v>0.03</v>
      </c>
      <c r="BV69" s="898" t="s">
        <v>1356</v>
      </c>
      <c r="BW69" s="905"/>
      <c r="BX69" s="601"/>
      <c r="BY69" s="1">
        <f>BY67*BY68</f>
        <v>27200000</v>
      </c>
      <c r="BZ69" s="1" t="s">
        <v>1320</v>
      </c>
    </row>
    <row r="70" spans="3:107" x14ac:dyDescent="0.3">
      <c r="C70" s="122"/>
      <c r="D70" s="7"/>
      <c r="E70" s="7"/>
      <c r="F70" s="142"/>
      <c r="G70" s="371"/>
      <c r="H70" s="142"/>
      <c r="I70" s="434"/>
      <c r="J70" s="142"/>
      <c r="K70" s="434"/>
      <c r="L70" s="240" t="s">
        <v>1367</v>
      </c>
      <c r="O70" s="240" t="s">
        <v>803</v>
      </c>
      <c r="Q70" s="951">
        <f>O72</f>
        <v>1024</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88"/>
      <c r="BM70" s="88"/>
      <c r="BN70" s="88"/>
      <c r="BO70" s="88"/>
      <c r="BP70" s="958"/>
      <c r="BQ70" s="88"/>
      <c r="BR70" s="88"/>
      <c r="BS70" s="940" t="s">
        <v>1318</v>
      </c>
      <c r="BT70" s="930">
        <f>BT56*BU70</f>
        <v>11303858151.759121</v>
      </c>
      <c r="BU70" s="931">
        <v>0.03</v>
      </c>
      <c r="BV70" s="898" t="s">
        <v>1357</v>
      </c>
      <c r="BW70" s="905"/>
      <c r="BX70" s="600"/>
      <c r="BY70" s="1">
        <f>BY69*2</f>
        <v>54400000</v>
      </c>
      <c r="BZ70" s="1" t="s">
        <v>1346</v>
      </c>
      <c r="CM70" s="1"/>
      <c r="CQ70" s="1"/>
      <c r="DB70" s="1"/>
      <c r="DC70" s="1"/>
    </row>
    <row r="71" spans="3:107" x14ac:dyDescent="0.3">
      <c r="C71" s="122"/>
      <c r="D71" s="7"/>
      <c r="E71" s="7"/>
      <c r="F71" s="7"/>
      <c r="G71" s="7"/>
      <c r="H71" s="7"/>
      <c r="I71" s="8"/>
      <c r="J71" s="122"/>
      <c r="K71" s="8"/>
      <c r="L71" s="240" t="s">
        <v>1387</v>
      </c>
      <c r="M71" s="239" t="s">
        <v>1327</v>
      </c>
      <c r="O71" s="240" t="s">
        <v>902</v>
      </c>
      <c r="Q71" s="240" t="s">
        <v>902</v>
      </c>
      <c r="S71" s="955">
        <f>BU53</f>
        <v>1024</v>
      </c>
      <c r="U71" s="77" t="s">
        <v>804</v>
      </c>
      <c r="V71" s="947"/>
      <c r="W71" s="319">
        <v>0.3</v>
      </c>
      <c r="Y71" s="76" t="s">
        <v>893</v>
      </c>
      <c r="Z71" s="76"/>
      <c r="AA71" s="77" t="s">
        <v>1332</v>
      </c>
      <c r="AB71" s="88"/>
      <c r="AE71" s="958"/>
      <c r="AF71" s="644" t="s">
        <v>986</v>
      </c>
      <c r="AG71" s="958"/>
      <c r="BN71" s="88"/>
      <c r="BO71" s="88"/>
      <c r="BP71" s="958"/>
      <c r="BQ71" s="88"/>
      <c r="BR71" s="88"/>
      <c r="BS71" s="940" t="s">
        <v>1319</v>
      </c>
      <c r="BT71" s="930">
        <f>BT56*BU71</f>
        <v>11303858151.759121</v>
      </c>
      <c r="BU71" s="931">
        <v>0.03</v>
      </c>
      <c r="BV71" s="898" t="s">
        <v>1358</v>
      </c>
      <c r="BW71" s="905"/>
      <c r="BX71" s="936"/>
    </row>
    <row r="72" spans="3:107" x14ac:dyDescent="0.3">
      <c r="C72" s="158"/>
      <c r="D72" s="10"/>
      <c r="E72" s="10"/>
      <c r="F72" s="10"/>
      <c r="G72" s="159">
        <f>SUM(G53:G71)</f>
        <v>24175432672.982014</v>
      </c>
      <c r="H72" s="160"/>
      <c r="I72" s="172">
        <f>SUM(I53:I71)</f>
        <v>21188966190.428062</v>
      </c>
      <c r="J72" s="158"/>
      <c r="K72" s="481">
        <f>SUM(K53:K71)</f>
        <v>0</v>
      </c>
      <c r="L72" s="482">
        <f>BT34</f>
        <v>16.360904570942317</v>
      </c>
      <c r="M72" s="480">
        <f>K72*L72</f>
        <v>0</v>
      </c>
      <c r="N72" s="239"/>
      <c r="O72" s="950">
        <f>BU53</f>
        <v>1024</v>
      </c>
      <c r="P72" s="239"/>
      <c r="Q72" s="480">
        <f>M72*O72</f>
        <v>0</v>
      </c>
      <c r="R72" s="239"/>
      <c r="S72" s="956">
        <f>M72*S71</f>
        <v>0</v>
      </c>
      <c r="T72" s="239"/>
      <c r="U72" s="910">
        <f>Q72+S72</f>
        <v>0</v>
      </c>
      <c r="V72" s="949" t="s">
        <v>1330</v>
      </c>
      <c r="W72" s="910">
        <f>W69*W71</f>
        <v>1989164570.4746923</v>
      </c>
      <c r="X72" s="949" t="s">
        <v>1330</v>
      </c>
      <c r="Y72" s="910">
        <f>BT59+BT60+BT61+BT62+BT63</f>
        <v>94198817931.326004</v>
      </c>
      <c r="Z72" s="949" t="s">
        <v>1331</v>
      </c>
      <c r="AA72" s="910">
        <f>U72+W72+Y72</f>
        <v>96187982501.80069</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181"/>
      <c r="BP72" s="958"/>
      <c r="BQ72" s="88"/>
      <c r="BR72" s="88"/>
      <c r="BS72" s="940" t="s">
        <v>1312</v>
      </c>
      <c r="BT72" s="930">
        <f>BT56*BU72</f>
        <v>11303858151.759121</v>
      </c>
      <c r="BU72" s="931">
        <v>0.03</v>
      </c>
      <c r="BV72" s="898" t="s">
        <v>1359</v>
      </c>
      <c r="BW72" s="905"/>
      <c r="BX72" s="812"/>
    </row>
    <row r="73" spans="3:107"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BO73" s="88"/>
      <c r="BP73" s="88"/>
      <c r="BQ73" s="88"/>
      <c r="BR73" s="88"/>
      <c r="BS73" s="940" t="s">
        <v>1313</v>
      </c>
      <c r="BT73" s="930">
        <f>BT56*BU73</f>
        <v>18839763586.265202</v>
      </c>
      <c r="BU73" s="931">
        <v>0.05</v>
      </c>
      <c r="BV73" s="898" t="s">
        <v>1361</v>
      </c>
      <c r="BW73" s="905"/>
      <c r="BX73" s="255"/>
    </row>
    <row r="74" spans="3:107"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BO74" s="88"/>
      <c r="BP74" s="252"/>
      <c r="BQ74" s="252"/>
      <c r="BR74" s="252"/>
      <c r="BS74" s="940" t="s">
        <v>1324</v>
      </c>
      <c r="BT74" s="930">
        <f>BT56*BU74</f>
        <v>37679527172.530403</v>
      </c>
      <c r="BU74" s="931">
        <v>0.1</v>
      </c>
      <c r="BV74" s="898" t="s">
        <v>1439</v>
      </c>
      <c r="BW74" s="905"/>
      <c r="BX74" s="255"/>
    </row>
    <row r="75" spans="3:107"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BO75" s="88"/>
      <c r="BP75" s="252"/>
      <c r="BQ75" s="88"/>
      <c r="BR75" s="88"/>
      <c r="BS75" s="940" t="s">
        <v>1306</v>
      </c>
      <c r="BT75" s="930">
        <f>BT56*BU75</f>
        <v>7535905434.5060806</v>
      </c>
      <c r="BU75" s="931">
        <v>0.02</v>
      </c>
      <c r="BV75" s="899" t="s">
        <v>1360</v>
      </c>
      <c r="BW75" s="932"/>
      <c r="BX75" s="255"/>
    </row>
    <row r="76" spans="3:107" x14ac:dyDescent="0.3">
      <c r="R76" s="88"/>
      <c r="S76" s="252"/>
      <c r="T76" s="88"/>
      <c r="U76" s="88"/>
      <c r="V76" s="88"/>
      <c r="W76" s="88"/>
      <c r="X76" s="88"/>
      <c r="Y76" s="88"/>
      <c r="Z76" s="361" t="s">
        <v>1347</v>
      </c>
      <c r="AA76" s="736">
        <f>AA72</f>
        <v>96187982501.80069</v>
      </c>
      <c r="AB76" s="88"/>
      <c r="AD76" s="960">
        <f t="shared" si="30"/>
        <v>2018</v>
      </c>
      <c r="AE76" s="691">
        <f t="shared" si="31"/>
        <v>5717501250</v>
      </c>
      <c r="AF76" s="963">
        <f t="shared" si="28"/>
        <v>2.5000000000000001E-2</v>
      </c>
      <c r="AG76" s="691">
        <f t="shared" si="29"/>
        <v>142937531.25</v>
      </c>
      <c r="BO76" s="88"/>
      <c r="BP76" s="252"/>
      <c r="BQ76" s="88"/>
      <c r="BR76" s="88"/>
      <c r="BS76" s="941" t="s">
        <v>1309</v>
      </c>
      <c r="BT76" s="930">
        <f>BT56*BU76</f>
        <v>7535905434.5060806</v>
      </c>
      <c r="BU76" s="931">
        <v>0.02</v>
      </c>
      <c r="BV76" s="899" t="s">
        <v>1440</v>
      </c>
      <c r="BW76" s="932"/>
      <c r="BX76" s="255"/>
    </row>
    <row r="77" spans="3:107"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BO77" s="88"/>
      <c r="BP77" s="88"/>
      <c r="BQ77" s="88"/>
      <c r="BR77" s="88"/>
      <c r="BS77" s="940" t="s">
        <v>1310</v>
      </c>
      <c r="BT77" s="904">
        <f>BT56*BU77</f>
        <v>18839763586.265202</v>
      </c>
      <c r="BU77" s="1065">
        <v>0.05</v>
      </c>
      <c r="BV77" s="898" t="s">
        <v>1362</v>
      </c>
      <c r="BW77" s="905"/>
      <c r="BX77" s="255"/>
    </row>
    <row r="78" spans="3:107" x14ac:dyDescent="0.3">
      <c r="R78" s="88"/>
      <c r="S78" s="252"/>
      <c r="T78" s="88"/>
      <c r="U78" s="88"/>
      <c r="V78" s="88"/>
      <c r="W78" s="88"/>
      <c r="X78" s="88"/>
      <c r="Y78" s="88"/>
      <c r="Z78" s="555" t="s">
        <v>1333</v>
      </c>
      <c r="AA78" s="957">
        <f>AA72/W72</f>
        <v>48.355970103995205</v>
      </c>
      <c r="AB78" s="252"/>
      <c r="AD78" s="960">
        <f t="shared" ref="AD78:AD106" si="32">AD77+1</f>
        <v>2020</v>
      </c>
      <c r="AE78" s="691">
        <f t="shared" si="31"/>
        <v>6006949750.78125</v>
      </c>
      <c r="AF78" s="963">
        <f t="shared" si="28"/>
        <v>2.5000000000000001E-2</v>
      </c>
      <c r="AG78" s="691">
        <f t="shared" si="29"/>
        <v>150173743.76953125</v>
      </c>
      <c r="BO78" s="88"/>
      <c r="BP78" s="88"/>
      <c r="BQ78" s="88"/>
      <c r="BR78" s="88"/>
      <c r="BS78" s="940" t="s">
        <v>1452</v>
      </c>
      <c r="BT78" s="904">
        <f>BT56*BU78</f>
        <v>18839763586.265202</v>
      </c>
      <c r="BU78" s="1065">
        <v>0.05</v>
      </c>
      <c r="BV78" s="898" t="s">
        <v>1450</v>
      </c>
      <c r="BW78" s="905"/>
      <c r="BX78" s="255"/>
    </row>
    <row r="79" spans="3:107"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BO79" s="88"/>
      <c r="BP79" s="88"/>
      <c r="BQ79" s="88"/>
      <c r="BR79" s="88"/>
      <c r="BS79" s="940" t="s">
        <v>1454</v>
      </c>
      <c r="BT79" s="904">
        <f>BT56*BU79</f>
        <v>18839763586.265202</v>
      </c>
      <c r="BU79" s="1065">
        <v>0.05</v>
      </c>
      <c r="BV79" s="898" t="s">
        <v>1455</v>
      </c>
      <c r="BW79" s="905"/>
      <c r="BX79" s="255"/>
    </row>
    <row r="80" spans="3:107"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BO80" s="88"/>
      <c r="BP80" s="88"/>
      <c r="BQ80" s="88"/>
      <c r="BR80" s="88"/>
      <c r="BS80" s="940" t="s">
        <v>1326</v>
      </c>
      <c r="BT80" s="904">
        <f>BT56*BU80</f>
        <v>15071810869.012161</v>
      </c>
      <c r="BU80" s="1065">
        <v>0.04</v>
      </c>
      <c r="BV80" s="898" t="s">
        <v>1348</v>
      </c>
      <c r="BW80" s="905"/>
      <c r="BX80" s="251"/>
    </row>
    <row r="81" spans="18:77"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BO81" s="88"/>
      <c r="BP81" s="88"/>
      <c r="BQ81" s="88"/>
      <c r="BR81" s="88"/>
      <c r="BS81" s="940" t="s">
        <v>1298</v>
      </c>
      <c r="BT81" s="930">
        <f>BT56*BU81</f>
        <v>15071810869.012161</v>
      </c>
      <c r="BU81" s="931">
        <v>0.04</v>
      </c>
      <c r="BV81" s="898" t="s">
        <v>1363</v>
      </c>
      <c r="BW81" s="905"/>
      <c r="BX81" s="251"/>
    </row>
    <row r="82" spans="18:77"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BO82" s="88"/>
      <c r="BP82" s="88"/>
      <c r="BQ82" s="88"/>
      <c r="BR82" s="88"/>
      <c r="BS82" s="942"/>
      <c r="BT82" s="1067"/>
      <c r="BU82" s="1068">
        <f>SUM(BU58:BU81)</f>
        <v>0.94836122214280794</v>
      </c>
      <c r="BV82" s="1069"/>
      <c r="BW82" s="1070"/>
      <c r="BX82" s="251"/>
    </row>
    <row r="83" spans="18:77"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BO83" s="88"/>
      <c r="BP83" s="88"/>
      <c r="BQ83" s="88"/>
      <c r="BR83" s="88"/>
      <c r="BS83" s="941" t="s">
        <v>1321</v>
      </c>
      <c r="BT83" s="904">
        <f>BT56*BU83</f>
        <v>19457247334.263294</v>
      </c>
      <c r="BU83" s="1065">
        <f>100%-BU82</f>
        <v>5.1638777857192064E-2</v>
      </c>
      <c r="BV83" s="898" t="s">
        <v>148</v>
      </c>
      <c r="BW83" s="905"/>
      <c r="BX83" s="251"/>
    </row>
    <row r="84" spans="18:77"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BO84" s="88"/>
      <c r="BP84" s="88"/>
      <c r="BQ84" s="88"/>
      <c r="BR84" s="88"/>
      <c r="BS84" s="943" t="s">
        <v>1322</v>
      </c>
      <c r="BT84" s="1071">
        <f>SUM(BT58:BT83)</f>
        <v>376795271725.30383</v>
      </c>
      <c r="BU84" s="1072">
        <f>BU82+BU83</f>
        <v>1</v>
      </c>
      <c r="BV84" s="1073" t="s">
        <v>59</v>
      </c>
      <c r="BW84" s="1074"/>
      <c r="BX84" s="251"/>
    </row>
    <row r="85" spans="18:77" x14ac:dyDescent="0.3">
      <c r="R85" s="88"/>
      <c r="S85" s="88"/>
      <c r="T85" s="88"/>
      <c r="U85" s="88"/>
      <c r="V85" s="88"/>
      <c r="AD85" s="960">
        <f t="shared" si="32"/>
        <v>2027</v>
      </c>
      <c r="AE85" s="691">
        <f t="shared" si="31"/>
        <v>7140375591.7544937</v>
      </c>
      <c r="AF85" s="963">
        <f t="shared" si="28"/>
        <v>2.5000000000000001E-2</v>
      </c>
      <c r="AG85" s="691">
        <f t="shared" si="29"/>
        <v>178509389.79386234</v>
      </c>
      <c r="BO85" s="88"/>
      <c r="BP85" s="88"/>
      <c r="BQ85" s="88"/>
      <c r="BR85" s="88"/>
      <c r="BS85" s="943" t="s">
        <v>1329</v>
      </c>
      <c r="BT85" s="179">
        <f>BT59+BT60+BT61+BT62+BT63</f>
        <v>94198817931.326004</v>
      </c>
      <c r="BU85" s="160"/>
      <c r="BV85" s="160" t="s">
        <v>1364</v>
      </c>
      <c r="BW85" s="303"/>
      <c r="BX85" s="251"/>
    </row>
    <row r="86" spans="18:77" x14ac:dyDescent="0.3">
      <c r="AD86" s="960">
        <f t="shared" si="32"/>
        <v>2028</v>
      </c>
      <c r="AE86" s="691">
        <f t="shared" si="31"/>
        <v>7318884981.5483561</v>
      </c>
      <c r="AF86" s="963">
        <f t="shared" si="28"/>
        <v>2.5000000000000001E-2</v>
      </c>
      <c r="AG86" s="691">
        <f t="shared" si="29"/>
        <v>182972124.53870893</v>
      </c>
      <c r="BO86" s="88"/>
      <c r="BP86" s="88"/>
      <c r="BQ86" s="88"/>
      <c r="BR86" s="88"/>
      <c r="BS86" s="364"/>
      <c r="BT86" s="1075"/>
      <c r="BU86" s="1076"/>
      <c r="BV86" s="1076"/>
      <c r="BW86" s="1077"/>
      <c r="BX86" s="251"/>
    </row>
    <row r="87" spans="18:77" x14ac:dyDescent="0.3">
      <c r="AD87" s="960">
        <f t="shared" si="32"/>
        <v>2029</v>
      </c>
      <c r="AE87" s="691">
        <f t="shared" si="31"/>
        <v>7501857106.0870647</v>
      </c>
      <c r="AF87" s="963">
        <f t="shared" si="28"/>
        <v>2.5000000000000001E-2</v>
      </c>
      <c r="AG87" s="691">
        <f t="shared" si="29"/>
        <v>187546427.65217662</v>
      </c>
      <c r="BO87" s="88"/>
      <c r="BP87" s="88"/>
      <c r="BQ87" s="88"/>
      <c r="BR87" s="88"/>
      <c r="BS87" s="1007" t="s">
        <v>1336</v>
      </c>
      <c r="BT87" s="1066">
        <f>AA72</f>
        <v>96187982501.80069</v>
      </c>
      <c r="BU87" s="251" t="s">
        <v>1335</v>
      </c>
      <c r="BV87" s="251"/>
      <c r="BW87" s="251"/>
      <c r="BX87" s="251"/>
    </row>
    <row r="88" spans="18:77" x14ac:dyDescent="0.3">
      <c r="AD88" s="960">
        <f t="shared" si="32"/>
        <v>2030</v>
      </c>
      <c r="AE88" s="691">
        <f t="shared" si="31"/>
        <v>7689403533.7392416</v>
      </c>
      <c r="AF88" s="963">
        <f t="shared" si="28"/>
        <v>2.5000000000000001E-2</v>
      </c>
      <c r="AG88" s="691">
        <f t="shared" si="29"/>
        <v>192235088.34348106</v>
      </c>
      <c r="BO88" s="88"/>
      <c r="BP88" s="88"/>
      <c r="BQ88" s="88"/>
      <c r="BR88" s="88"/>
      <c r="BS88" s="1008" t="s">
        <v>1337</v>
      </c>
      <c r="BT88" s="1009">
        <f>W72</f>
        <v>1989164570.4746923</v>
      </c>
      <c r="BU88" s="898" t="s">
        <v>1338</v>
      </c>
      <c r="BV88" s="898"/>
      <c r="BW88" s="251"/>
      <c r="BX88" s="251"/>
    </row>
    <row r="89" spans="18:77" x14ac:dyDescent="0.3">
      <c r="AD89" s="960">
        <f t="shared" si="32"/>
        <v>2031</v>
      </c>
      <c r="AE89" s="691">
        <f t="shared" si="31"/>
        <v>7881638622.0827227</v>
      </c>
      <c r="AF89" s="963">
        <f t="shared" si="28"/>
        <v>2.5000000000000001E-2</v>
      </c>
      <c r="AG89" s="691">
        <f t="shared" si="29"/>
        <v>197040965.55206808</v>
      </c>
      <c r="BO89" s="88"/>
      <c r="BP89" s="88"/>
      <c r="BQ89" s="88"/>
      <c r="BR89" s="88"/>
      <c r="BS89" s="106"/>
      <c r="BT89" s="745"/>
      <c r="BU89" s="251"/>
      <c r="BV89" s="251"/>
      <c r="BW89" s="251"/>
      <c r="BX89" s="251"/>
      <c r="BY89" s="252"/>
    </row>
    <row r="90" spans="18:77" x14ac:dyDescent="0.3">
      <c r="AD90" s="960">
        <f t="shared" si="32"/>
        <v>2032</v>
      </c>
      <c r="AE90" s="691">
        <f t="shared" si="31"/>
        <v>8078679587.6347904</v>
      </c>
      <c r="AF90" s="963">
        <f t="shared" si="28"/>
        <v>2.5000000000000001E-2</v>
      </c>
      <c r="AG90" s="691">
        <f t="shared" si="29"/>
        <v>201966989.69086978</v>
      </c>
      <c r="BO90" s="88"/>
      <c r="BP90" s="88"/>
      <c r="BQ90" s="88"/>
      <c r="BR90" s="88"/>
      <c r="BT90" s="999" t="s">
        <v>1355</v>
      </c>
      <c r="BU90" s="252"/>
      <c r="BV90" s="252"/>
      <c r="BW90" s="252"/>
      <c r="BX90" s="252"/>
      <c r="BY90" s="252"/>
    </row>
    <row r="91" spans="18:77" x14ac:dyDescent="0.3">
      <c r="AD91" s="960">
        <f t="shared" si="32"/>
        <v>2033</v>
      </c>
      <c r="AE91" s="691">
        <f t="shared" si="31"/>
        <v>8280646577.3256598</v>
      </c>
      <c r="AF91" s="963">
        <f t="shared" si="28"/>
        <v>2.5000000000000001E-2</v>
      </c>
      <c r="AG91" s="691">
        <f t="shared" si="29"/>
        <v>207016164.4331415</v>
      </c>
      <c r="BO91" s="88"/>
      <c r="BP91" s="88"/>
      <c r="BQ91" s="88"/>
      <c r="BR91" s="88"/>
      <c r="BU91" s="252"/>
      <c r="BV91" s="252"/>
      <c r="BW91" s="252"/>
      <c r="BX91" s="252"/>
      <c r="BY91" s="252"/>
    </row>
    <row r="92" spans="18:77" x14ac:dyDescent="0.3">
      <c r="AD92" s="960">
        <f t="shared" si="32"/>
        <v>2034</v>
      </c>
      <c r="AE92" s="691">
        <f t="shared" si="31"/>
        <v>8487662741.7588015</v>
      </c>
      <c r="AF92" s="963">
        <f t="shared" si="28"/>
        <v>2.5000000000000001E-2</v>
      </c>
      <c r="AG92" s="691">
        <f t="shared" si="29"/>
        <v>212191568.54397005</v>
      </c>
      <c r="BO92" s="88"/>
      <c r="BP92" s="88"/>
      <c r="BQ92" s="88"/>
      <c r="BR92" s="252"/>
      <c r="BU92" s="252"/>
      <c r="BV92" s="252"/>
      <c r="BW92" s="252"/>
      <c r="BX92" s="252"/>
      <c r="BY92" s="252"/>
    </row>
    <row r="93" spans="18:77" x14ac:dyDescent="0.3">
      <c r="AD93" s="960">
        <f t="shared" si="32"/>
        <v>2035</v>
      </c>
      <c r="AE93" s="691">
        <f t="shared" si="31"/>
        <v>8699854310.3027706</v>
      </c>
      <c r="AF93" s="963">
        <f t="shared" si="28"/>
        <v>2.5000000000000001E-2</v>
      </c>
      <c r="AG93" s="691">
        <f t="shared" si="29"/>
        <v>217496357.75756928</v>
      </c>
      <c r="BU93" s="252"/>
      <c r="BV93" s="252"/>
      <c r="BW93" s="252"/>
      <c r="BX93" s="252"/>
      <c r="BY93" s="252"/>
    </row>
    <row r="94" spans="18:77" x14ac:dyDescent="0.3">
      <c r="AD94" s="960">
        <f t="shared" si="32"/>
        <v>2036</v>
      </c>
      <c r="AE94" s="691">
        <f t="shared" si="31"/>
        <v>8917350668.060339</v>
      </c>
      <c r="AF94" s="963">
        <f t="shared" si="28"/>
        <v>2.5000000000000001E-2</v>
      </c>
      <c r="AG94" s="691">
        <f t="shared" si="29"/>
        <v>222933766.70150849</v>
      </c>
      <c r="BU94" s="252"/>
      <c r="BV94" s="252"/>
      <c r="BW94" s="252"/>
      <c r="BX94" s="252"/>
      <c r="BY94" s="252"/>
    </row>
    <row r="95" spans="18:77" x14ac:dyDescent="0.3">
      <c r="AD95" s="960">
        <f t="shared" si="32"/>
        <v>2037</v>
      </c>
      <c r="AE95" s="691">
        <f t="shared" si="31"/>
        <v>9140284434.7618465</v>
      </c>
      <c r="AF95" s="963">
        <f t="shared" si="28"/>
        <v>2.5000000000000001E-2</v>
      </c>
      <c r="AG95" s="691">
        <f t="shared" si="29"/>
        <v>228507110.86904618</v>
      </c>
      <c r="BU95" s="252"/>
      <c r="BV95" s="252"/>
      <c r="BW95" s="252"/>
      <c r="BX95" s="252"/>
      <c r="BY95" s="252"/>
    </row>
    <row r="96" spans="18:77" x14ac:dyDescent="0.3">
      <c r="AD96" s="960">
        <f t="shared" si="32"/>
        <v>2038</v>
      </c>
      <c r="AE96" s="691">
        <f t="shared" si="31"/>
        <v>9368791545.6308918</v>
      </c>
      <c r="AF96" s="963">
        <f t="shared" si="28"/>
        <v>2.5000000000000001E-2</v>
      </c>
      <c r="AG96" s="691">
        <f t="shared" si="29"/>
        <v>234219788.64077231</v>
      </c>
      <c r="BU96" s="252"/>
      <c r="BV96" s="252"/>
      <c r="BW96" s="252"/>
      <c r="BX96" s="252"/>
      <c r="BY96" s="252"/>
    </row>
    <row r="97" spans="30:77" x14ac:dyDescent="0.3">
      <c r="AD97" s="960">
        <f t="shared" si="32"/>
        <v>2039</v>
      </c>
      <c r="AE97" s="691">
        <f t="shared" si="31"/>
        <v>9603011334.2716637</v>
      </c>
      <c r="AF97" s="963">
        <f t="shared" si="28"/>
        <v>2.5000000000000001E-2</v>
      </c>
      <c r="AG97" s="691">
        <f t="shared" si="29"/>
        <v>240075283.35679162</v>
      </c>
      <c r="BU97" s="252"/>
      <c r="BV97" s="252"/>
      <c r="BW97" s="252"/>
      <c r="BX97" s="252"/>
      <c r="BY97" s="252"/>
    </row>
    <row r="98" spans="30:77" x14ac:dyDescent="0.3">
      <c r="AD98" s="960">
        <f t="shared" si="32"/>
        <v>2040</v>
      </c>
      <c r="AE98" s="691">
        <f t="shared" si="31"/>
        <v>9843086617.6284561</v>
      </c>
      <c r="AF98" s="963">
        <f t="shared" si="28"/>
        <v>2.5000000000000001E-2</v>
      </c>
      <c r="AG98" s="691">
        <f t="shared" si="29"/>
        <v>246077165.44071141</v>
      </c>
    </row>
    <row r="99" spans="30:77" x14ac:dyDescent="0.3">
      <c r="AD99" s="960">
        <f t="shared" si="32"/>
        <v>2041</v>
      </c>
      <c r="AE99" s="691">
        <f t="shared" si="31"/>
        <v>10089163783.069168</v>
      </c>
      <c r="AF99" s="963">
        <f t="shared" si="28"/>
        <v>2.5000000000000001E-2</v>
      </c>
      <c r="AG99" s="691">
        <f t="shared" si="29"/>
        <v>252229094.57672921</v>
      </c>
    </row>
    <row r="100" spans="30:77" x14ac:dyDescent="0.3">
      <c r="AD100" s="960">
        <f t="shared" si="32"/>
        <v>2042</v>
      </c>
      <c r="AE100" s="691">
        <f t="shared" si="31"/>
        <v>10341392877.645897</v>
      </c>
      <c r="AF100" s="963">
        <f t="shared" si="28"/>
        <v>2.5000000000000001E-2</v>
      </c>
      <c r="AG100" s="691">
        <f t="shared" si="29"/>
        <v>258534821.94114745</v>
      </c>
    </row>
    <row r="101" spans="30:77" x14ac:dyDescent="0.3">
      <c r="AD101" s="960">
        <f t="shared" si="32"/>
        <v>2043</v>
      </c>
      <c r="AE101" s="691">
        <f t="shared" si="31"/>
        <v>10599927699.587044</v>
      </c>
      <c r="AF101" s="963">
        <f t="shared" si="28"/>
        <v>2.5000000000000001E-2</v>
      </c>
      <c r="AG101" s="691">
        <f t="shared" si="29"/>
        <v>264998192.48967612</v>
      </c>
    </row>
    <row r="102" spans="30:77" x14ac:dyDescent="0.3">
      <c r="AD102" s="960">
        <f t="shared" si="32"/>
        <v>2044</v>
      </c>
      <c r="AE102" s="691">
        <f t="shared" si="31"/>
        <v>10864925892.076719</v>
      </c>
      <c r="AF102" s="963">
        <f t="shared" si="28"/>
        <v>2.5000000000000001E-2</v>
      </c>
      <c r="AG102" s="691">
        <f t="shared" si="29"/>
        <v>271623147.30191797</v>
      </c>
    </row>
    <row r="103" spans="30:77" x14ac:dyDescent="0.3">
      <c r="AD103" s="960">
        <f t="shared" si="32"/>
        <v>2045</v>
      </c>
      <c r="AE103" s="691">
        <f t="shared" si="31"/>
        <v>11136549039.378637</v>
      </c>
      <c r="AF103" s="963">
        <f t="shared" si="28"/>
        <v>2.5000000000000001E-2</v>
      </c>
      <c r="AG103" s="691">
        <f t="shared" si="29"/>
        <v>278413725.98446596</v>
      </c>
    </row>
    <row r="104" spans="30:77" x14ac:dyDescent="0.3">
      <c r="AD104" s="960">
        <f t="shared" si="32"/>
        <v>2046</v>
      </c>
      <c r="AE104" s="691">
        <f t="shared" si="31"/>
        <v>11414962765.363104</v>
      </c>
      <c r="AF104" s="963">
        <f t="shared" si="28"/>
        <v>2.5000000000000001E-2</v>
      </c>
      <c r="AG104" s="691">
        <f t="shared" si="29"/>
        <v>285374069.13407761</v>
      </c>
    </row>
    <row r="105" spans="30:77" x14ac:dyDescent="0.3">
      <c r="AD105" s="960">
        <f t="shared" si="32"/>
        <v>2047</v>
      </c>
      <c r="AE105" s="691">
        <f t="shared" si="31"/>
        <v>11700336834.497181</v>
      </c>
      <c r="AF105" s="963">
        <f t="shared" si="28"/>
        <v>2.5000000000000001E-2</v>
      </c>
      <c r="AG105" s="691">
        <f t="shared" si="29"/>
        <v>292508420.86242956</v>
      </c>
    </row>
    <row r="106" spans="30:77"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7526-0006-46B1-8428-BF309C78DDEB}">
  <dimension ref="A2:EK106"/>
  <sheetViews>
    <sheetView showGridLines="0" topLeftCell="CW58" workbookViewId="0">
      <selection activeCell="CZ49" sqref="CZ49"/>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90"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DS2" s="916"/>
      <c r="DW2" s="916"/>
      <c r="EH2" s="917"/>
      <c r="EI2" s="916"/>
    </row>
    <row r="3" spans="1:139" ht="25.95" customHeight="1" x14ac:dyDescent="0.5">
      <c r="C3" s="570" t="s">
        <v>1446</v>
      </c>
      <c r="F3" s="1081"/>
      <c r="G3" s="648"/>
      <c r="CZ3" s="999" t="s">
        <v>1355</v>
      </c>
    </row>
    <row r="4" spans="1:139"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c r="BT4" s="7"/>
      <c r="BU4" s="632" t="s">
        <v>970</v>
      </c>
      <c r="BV4" s="7"/>
      <c r="BW4" s="7"/>
      <c r="BX4" s="7"/>
      <c r="BY4" s="632" t="s">
        <v>970</v>
      </c>
      <c r="BZ4" s="7"/>
      <c r="CA4" s="7"/>
      <c r="CB4" s="7"/>
      <c r="CC4" s="632" t="s">
        <v>970</v>
      </c>
      <c r="CD4" s="7"/>
      <c r="CE4" s="7"/>
      <c r="CF4" s="7"/>
      <c r="CG4" s="632" t="s">
        <v>970</v>
      </c>
      <c r="CH4" s="7"/>
      <c r="CI4" s="7"/>
      <c r="CJ4" s="7"/>
      <c r="CK4" s="632" t="s">
        <v>970</v>
      </c>
      <c r="CL4" s="7"/>
      <c r="CM4" s="7"/>
      <c r="CN4" s="7"/>
      <c r="CO4" s="632" t="s">
        <v>970</v>
      </c>
      <c r="CP4" s="7"/>
      <c r="CQ4" s="7"/>
      <c r="CR4" s="7"/>
      <c r="CS4" s="632" t="s">
        <v>970</v>
      </c>
      <c r="CT4" s="7"/>
      <c r="CU4" s="7"/>
      <c r="CV4" s="7"/>
      <c r="CW4" s="632" t="s">
        <v>970</v>
      </c>
      <c r="CX4" s="7"/>
      <c r="CY4" s="7"/>
    </row>
    <row r="5" spans="1:139" ht="18.600000000000001" x14ac:dyDescent="0.45">
      <c r="C5" s="37" t="s">
        <v>972</v>
      </c>
      <c r="D5" s="619"/>
      <c r="E5" s="408">
        <f>E11</f>
        <v>11942963496.535389</v>
      </c>
      <c r="F5" s="1082">
        <v>1</v>
      </c>
      <c r="G5" s="408">
        <f>E5*F5</f>
        <v>11942963496.535389</v>
      </c>
      <c r="H5" s="409">
        <v>1</v>
      </c>
      <c r="I5" s="408">
        <f>G5*H5</f>
        <v>11942963496.535389</v>
      </c>
      <c r="J5" s="409">
        <v>1</v>
      </c>
      <c r="K5" s="408">
        <f>I5*J5</f>
        <v>11942963496.535389</v>
      </c>
      <c r="L5" s="409">
        <f>H5</f>
        <v>1</v>
      </c>
      <c r="M5" s="408">
        <f>K5*L5</f>
        <v>11942963496.535389</v>
      </c>
      <c r="N5" s="409">
        <f>J5</f>
        <v>1</v>
      </c>
      <c r="O5" s="408">
        <f>M5*N5</f>
        <v>11942963496.535389</v>
      </c>
      <c r="P5" s="409">
        <f>L5</f>
        <v>1</v>
      </c>
      <c r="Q5" s="408">
        <f>O5*P5</f>
        <v>11942963496.535389</v>
      </c>
      <c r="R5" s="409">
        <f>N5</f>
        <v>1</v>
      </c>
      <c r="S5" s="408">
        <f>Q5*R5</f>
        <v>11942963496.535389</v>
      </c>
      <c r="T5" s="409">
        <f>P5</f>
        <v>1</v>
      </c>
      <c r="U5" s="408">
        <f>S5*T5</f>
        <v>11942963496.535389</v>
      </c>
      <c r="V5" s="409">
        <f>R5</f>
        <v>1</v>
      </c>
      <c r="W5" s="408">
        <f>U5*V5</f>
        <v>11942963496.535389</v>
      </c>
      <c r="X5" s="409">
        <f>T5</f>
        <v>1</v>
      </c>
      <c r="Y5" s="408">
        <f>W5*X5</f>
        <v>11942963496.535389</v>
      </c>
      <c r="Z5" s="409">
        <f>V5</f>
        <v>1</v>
      </c>
      <c r="AA5" s="408">
        <f>Y5*Z5</f>
        <v>11942963496.535389</v>
      </c>
      <c r="AB5" s="409">
        <f>X5</f>
        <v>1</v>
      </c>
      <c r="AC5" s="408">
        <f>AA5*AB5</f>
        <v>11942963496.535389</v>
      </c>
      <c r="AD5" s="409">
        <f>Z5</f>
        <v>1</v>
      </c>
      <c r="AE5" s="408">
        <f>AC5*AD5</f>
        <v>11942963496.535389</v>
      </c>
      <c r="AF5" s="409">
        <f>AB5</f>
        <v>1</v>
      </c>
      <c r="AG5" s="408">
        <f>AE5*AF5</f>
        <v>11942963496.535389</v>
      </c>
      <c r="AH5" s="409">
        <f>AD5</f>
        <v>1</v>
      </c>
      <c r="AI5" s="408">
        <f>AG5*AH5</f>
        <v>11942963496.535389</v>
      </c>
      <c r="AJ5" s="409">
        <f>AF5</f>
        <v>1</v>
      </c>
      <c r="AK5" s="408">
        <f>AI5*AJ5</f>
        <v>11942963496.535389</v>
      </c>
      <c r="AL5" s="409">
        <f>AH5</f>
        <v>1</v>
      </c>
      <c r="AM5" s="408">
        <f>AK5*AL5</f>
        <v>11942963496.535389</v>
      </c>
      <c r="AN5" s="409">
        <f>AJ5</f>
        <v>1</v>
      </c>
      <c r="AO5" s="408">
        <f>AM5*AN5</f>
        <v>11942963496.535389</v>
      </c>
      <c r="AP5" s="409">
        <f>AL5</f>
        <v>1</v>
      </c>
      <c r="AQ5" s="408">
        <f>AO5*AP5</f>
        <v>11942963496.535389</v>
      </c>
      <c r="AR5" s="409">
        <f>AN5</f>
        <v>1</v>
      </c>
      <c r="AS5" s="408">
        <f>AQ5*AR5</f>
        <v>11942963496.535389</v>
      </c>
      <c r="AT5" s="409">
        <f>AP5</f>
        <v>1</v>
      </c>
      <c r="AU5" s="408">
        <f>AS5*AT5</f>
        <v>11942963496.535389</v>
      </c>
      <c r="AV5" s="409">
        <f>AR5</f>
        <v>1</v>
      </c>
      <c r="AW5" s="408">
        <f>AU5*AV5</f>
        <v>11942963496.535389</v>
      </c>
      <c r="AX5" s="409">
        <f>AT5</f>
        <v>1</v>
      </c>
      <c r="AY5" s="408">
        <f>AW5*AX5</f>
        <v>11942963496.535389</v>
      </c>
      <c r="AZ5" s="409">
        <f>AV5</f>
        <v>1</v>
      </c>
      <c r="BA5" s="408">
        <f>AY5*AZ5</f>
        <v>11942963496.535389</v>
      </c>
      <c r="BB5" s="409">
        <f>AX5</f>
        <v>1</v>
      </c>
      <c r="BC5" s="408">
        <f>BA5*BB5</f>
        <v>11942963496.535389</v>
      </c>
      <c r="BD5" s="409">
        <f>AR5</f>
        <v>1</v>
      </c>
      <c r="BE5" s="408">
        <f>BC5*BD5</f>
        <v>11942963496.535389</v>
      </c>
      <c r="BF5" s="409">
        <f>AT5</f>
        <v>1</v>
      </c>
      <c r="BG5" s="408">
        <f>BE5*BF5</f>
        <v>11942963496.535389</v>
      </c>
      <c r="BH5" s="409">
        <f>BD5</f>
        <v>1</v>
      </c>
      <c r="BI5" s="408">
        <f>BG5*BH5</f>
        <v>11942963496.535389</v>
      </c>
      <c r="BJ5" s="409">
        <f>BF5</f>
        <v>1</v>
      </c>
      <c r="BK5" s="408">
        <f>BI5*BJ5</f>
        <v>11942963496.535389</v>
      </c>
      <c r="BL5" s="409">
        <f>BH5</f>
        <v>1</v>
      </c>
      <c r="BM5" s="408">
        <f>BK5*BL5</f>
        <v>11942963496.535389</v>
      </c>
      <c r="BN5" s="409">
        <f>BJ5</f>
        <v>1</v>
      </c>
      <c r="BO5" s="408">
        <f>BM5*BN5</f>
        <v>11942963496.535389</v>
      </c>
      <c r="BP5" s="409">
        <f>BL5</f>
        <v>1</v>
      </c>
      <c r="BQ5" s="408">
        <f>BO5*BP5</f>
        <v>11942963496.535389</v>
      </c>
      <c r="BR5" s="409">
        <f>BN5</f>
        <v>1</v>
      </c>
      <c r="BS5" s="408">
        <f>BQ5*BR5</f>
        <v>11942963496.535389</v>
      </c>
      <c r="BT5" s="409">
        <f>BP5</f>
        <v>1</v>
      </c>
      <c r="BU5" s="408">
        <f>BS5*BT5</f>
        <v>11942963496.535389</v>
      </c>
      <c r="BV5" s="409">
        <f>BR5</f>
        <v>1</v>
      </c>
      <c r="BW5" s="408">
        <f>BU5*BV5</f>
        <v>11942963496.535389</v>
      </c>
      <c r="BX5" s="409">
        <f>BT5</f>
        <v>1</v>
      </c>
      <c r="BY5" s="408">
        <f>BW5*BX5</f>
        <v>11942963496.535389</v>
      </c>
      <c r="BZ5" s="409">
        <f>BV5</f>
        <v>1</v>
      </c>
      <c r="CA5" s="408">
        <f>BY5*BZ5</f>
        <v>11942963496.535389</v>
      </c>
      <c r="CB5" s="409">
        <f>BX5</f>
        <v>1</v>
      </c>
      <c r="CC5" s="408">
        <f>CA5*CB5</f>
        <v>11942963496.535389</v>
      </c>
      <c r="CD5" s="409">
        <f>BZ5</f>
        <v>1</v>
      </c>
      <c r="CE5" s="408">
        <f>CC5*CD5</f>
        <v>11942963496.535389</v>
      </c>
      <c r="CF5" s="409">
        <f>CB5</f>
        <v>1</v>
      </c>
      <c r="CG5" s="408">
        <f>CE5*CF5</f>
        <v>11942963496.535389</v>
      </c>
      <c r="CH5" s="409">
        <f>CD5</f>
        <v>1</v>
      </c>
      <c r="CI5" s="408">
        <f>CG5*CH5</f>
        <v>11942963496.535389</v>
      </c>
      <c r="CJ5" s="409">
        <f>BX5</f>
        <v>1</v>
      </c>
      <c r="CK5" s="408">
        <f>CI5*CJ5</f>
        <v>11942963496.535389</v>
      </c>
      <c r="CL5" s="409">
        <f>BZ5</f>
        <v>1</v>
      </c>
      <c r="CM5" s="408">
        <f>CK5*CL5</f>
        <v>11942963496.535389</v>
      </c>
      <c r="CN5" s="409">
        <f>CJ5</f>
        <v>1</v>
      </c>
      <c r="CO5" s="408">
        <f>CM5*CN5</f>
        <v>11942963496.535389</v>
      </c>
      <c r="CP5" s="409">
        <f>CL5</f>
        <v>1</v>
      </c>
      <c r="CQ5" s="408">
        <f>CO5*CP5</f>
        <v>11942963496.535389</v>
      </c>
      <c r="CR5" s="409">
        <f>AB5</f>
        <v>1</v>
      </c>
      <c r="CS5" s="408">
        <f>CQ5*CR5</f>
        <v>11942963496.535389</v>
      </c>
      <c r="CT5" s="409">
        <f>AD5</f>
        <v>1</v>
      </c>
      <c r="CU5" s="408">
        <f>CS5*CT5</f>
        <v>11942963496.535389</v>
      </c>
      <c r="CV5" s="409">
        <f>CR5</f>
        <v>1</v>
      </c>
      <c r="CW5" s="408">
        <f>CU5*CV5</f>
        <v>11942963496.535389</v>
      </c>
      <c r="CX5" s="409">
        <f>CT5</f>
        <v>1</v>
      </c>
      <c r="CY5" s="408">
        <f>CW5*CX5</f>
        <v>11942963496.535389</v>
      </c>
      <c r="CZ5" s="719">
        <f>G5+I5+M5+Q5+U5+Y5+AC5+AG5+AK5+AO5+AS5+AW5+BA5+BE5+BI5+BM5+BQ5+BU5+BY5+CC5+CG5+CK5+CO5+CS5+CW5</f>
        <v>298574087413.38483</v>
      </c>
      <c r="DB5" s="621">
        <f>CV5</f>
        <v>1</v>
      </c>
      <c r="DC5" s="622">
        <f>CY5*DB5</f>
        <v>11942963496.535389</v>
      </c>
      <c r="DD5" s="626"/>
      <c r="DE5" s="626"/>
      <c r="DF5" s="627"/>
    </row>
    <row r="6" spans="1:139" x14ac:dyDescent="0.3">
      <c r="F6" s="1081"/>
      <c r="CZ6" s="93"/>
      <c r="DF6" s="628"/>
    </row>
    <row r="7" spans="1:139"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1221" t="s">
        <v>749</v>
      </c>
      <c r="BM7" s="1222" t="s">
        <v>1463</v>
      </c>
      <c r="BN7" s="1223" t="s">
        <v>297</v>
      </c>
      <c r="BO7" s="1222" t="s">
        <v>59</v>
      </c>
      <c r="BP7" s="1217" t="s">
        <v>749</v>
      </c>
      <c r="BQ7" s="925" t="s">
        <v>1464</v>
      </c>
      <c r="BR7" s="1162" t="s">
        <v>297</v>
      </c>
      <c r="BS7" s="925" t="s">
        <v>59</v>
      </c>
      <c r="BT7" s="1221" t="s">
        <v>749</v>
      </c>
      <c r="BU7" s="1222" t="s">
        <v>1469</v>
      </c>
      <c r="BV7" s="1223" t="s">
        <v>297</v>
      </c>
      <c r="BW7" s="1222" t="s">
        <v>59</v>
      </c>
      <c r="BX7" s="1217" t="s">
        <v>749</v>
      </c>
      <c r="BY7" s="925" t="s">
        <v>1470</v>
      </c>
      <c r="BZ7" s="1162" t="s">
        <v>297</v>
      </c>
      <c r="CA7" s="925" t="s">
        <v>59</v>
      </c>
      <c r="CB7" s="1221" t="s">
        <v>749</v>
      </c>
      <c r="CC7" s="1222" t="s">
        <v>1471</v>
      </c>
      <c r="CD7" s="1223" t="s">
        <v>297</v>
      </c>
      <c r="CE7" s="1222" t="s">
        <v>59</v>
      </c>
      <c r="CF7" s="1217" t="s">
        <v>749</v>
      </c>
      <c r="CG7" s="925" t="s">
        <v>1472</v>
      </c>
      <c r="CH7" s="1162" t="s">
        <v>297</v>
      </c>
      <c r="CI7" s="925" t="s">
        <v>59</v>
      </c>
      <c r="CJ7" s="1221" t="s">
        <v>749</v>
      </c>
      <c r="CK7" s="1222" t="s">
        <v>1473</v>
      </c>
      <c r="CL7" s="1223" t="s">
        <v>297</v>
      </c>
      <c r="CM7" s="1222" t="s">
        <v>59</v>
      </c>
      <c r="CN7" s="1217" t="s">
        <v>749</v>
      </c>
      <c r="CO7" s="925" t="s">
        <v>1474</v>
      </c>
      <c r="CP7" s="1162" t="s">
        <v>297</v>
      </c>
      <c r="CQ7" s="925" t="s">
        <v>59</v>
      </c>
      <c r="CR7" s="462" t="s">
        <v>749</v>
      </c>
      <c r="CS7" s="170" t="s">
        <v>1475</v>
      </c>
      <c r="CT7" s="175" t="s">
        <v>297</v>
      </c>
      <c r="CU7" s="170" t="s">
        <v>59</v>
      </c>
      <c r="CV7" s="301" t="s">
        <v>749</v>
      </c>
      <c r="CW7" s="121" t="s">
        <v>1476</v>
      </c>
      <c r="CX7" s="173" t="s">
        <v>297</v>
      </c>
      <c r="CY7" s="121" t="s">
        <v>59</v>
      </c>
      <c r="CZ7" s="121"/>
      <c r="DB7" s="588" t="s">
        <v>1367</v>
      </c>
      <c r="DC7" s="121" t="s">
        <v>1477</v>
      </c>
      <c r="DF7" s="628"/>
    </row>
    <row r="8" spans="1:139" x14ac:dyDescent="0.3">
      <c r="B8" s="584"/>
      <c r="C8" s="7"/>
      <c r="E8" s="875">
        <f>CZ47</f>
        <v>23885926993.070778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1224" t="s">
        <v>1371</v>
      </c>
      <c r="BM8" s="1225"/>
      <c r="BN8" s="1226"/>
      <c r="BO8" s="1225"/>
      <c r="BP8" s="1218" t="s">
        <v>1371</v>
      </c>
      <c r="BQ8" s="1219"/>
      <c r="BR8" s="1220"/>
      <c r="BS8" s="1219"/>
      <c r="BT8" s="1224" t="s">
        <v>1371</v>
      </c>
      <c r="BU8" s="1225"/>
      <c r="BV8" s="1226"/>
      <c r="BW8" s="1225"/>
      <c r="BX8" s="1218" t="s">
        <v>1371</v>
      </c>
      <c r="BY8" s="1219"/>
      <c r="BZ8" s="1220"/>
      <c r="CA8" s="1219"/>
      <c r="CB8" s="1224" t="s">
        <v>1371</v>
      </c>
      <c r="CC8" s="1225"/>
      <c r="CD8" s="1226"/>
      <c r="CE8" s="1225"/>
      <c r="CF8" s="1218" t="s">
        <v>1371</v>
      </c>
      <c r="CG8" s="1219"/>
      <c r="CH8" s="1220"/>
      <c r="CI8" s="1219"/>
      <c r="CJ8" s="1224" t="s">
        <v>1371</v>
      </c>
      <c r="CK8" s="1225"/>
      <c r="CL8" s="1226"/>
      <c r="CM8" s="1225"/>
      <c r="CN8" s="1218" t="s">
        <v>1371</v>
      </c>
      <c r="CO8" s="1219"/>
      <c r="CP8" s="1220"/>
      <c r="CQ8" s="1219"/>
      <c r="CR8" s="586" t="s">
        <v>1371</v>
      </c>
      <c r="CS8" s="470"/>
      <c r="CT8" s="471"/>
      <c r="CU8" s="470"/>
      <c r="CV8" s="587" t="s">
        <v>1371</v>
      </c>
      <c r="CW8" s="303"/>
      <c r="CX8" s="179"/>
      <c r="CY8" s="303"/>
      <c r="CZ8" s="126"/>
      <c r="DB8" s="589" t="s">
        <v>1371</v>
      </c>
      <c r="DC8" s="303"/>
      <c r="DF8" s="628"/>
    </row>
    <row r="9" spans="1:139"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7"/>
      <c r="BQ9" s="459" t="s">
        <v>282</v>
      </c>
      <c r="BR9" s="122"/>
      <c r="BS9" s="8"/>
      <c r="BT9" s="7"/>
      <c r="BU9" s="459" t="s">
        <v>282</v>
      </c>
      <c r="BV9" s="122"/>
      <c r="BW9" s="8"/>
      <c r="BX9" s="7"/>
      <c r="BY9" s="459" t="s">
        <v>282</v>
      </c>
      <c r="BZ9" s="122"/>
      <c r="CA9" s="8"/>
      <c r="CB9" s="7"/>
      <c r="CC9" s="459" t="s">
        <v>282</v>
      </c>
      <c r="CD9" s="122"/>
      <c r="CE9" s="8"/>
      <c r="CF9" s="7"/>
      <c r="CG9" s="459" t="s">
        <v>282</v>
      </c>
      <c r="CH9" s="122"/>
      <c r="CI9" s="8"/>
      <c r="CJ9" s="7"/>
      <c r="CK9" s="459" t="s">
        <v>282</v>
      </c>
      <c r="CL9" s="122"/>
      <c r="CM9" s="8"/>
      <c r="CN9" s="7"/>
      <c r="CO9" s="459" t="s">
        <v>282</v>
      </c>
      <c r="CP9" s="122"/>
      <c r="CQ9" s="8"/>
      <c r="CR9" s="7"/>
      <c r="CS9" s="459" t="s">
        <v>282</v>
      </c>
      <c r="CT9" s="122"/>
      <c r="CU9" s="8"/>
      <c r="CV9" s="122"/>
      <c r="CW9" s="459" t="s">
        <v>282</v>
      </c>
      <c r="CX9" s="122"/>
      <c r="CY9" s="8"/>
      <c r="CZ9" s="126"/>
      <c r="DB9" s="122"/>
      <c r="DC9" s="459" t="s">
        <v>282</v>
      </c>
      <c r="DF9" s="628"/>
    </row>
    <row r="10" spans="1:139" ht="16.2" thickBot="1" x14ac:dyDescent="0.35">
      <c r="B10" s="585"/>
      <c r="C10" s="1211"/>
      <c r="D10" s="630" t="s">
        <v>953</v>
      </c>
      <c r="E10" s="994">
        <f>DA53</f>
        <v>2048</v>
      </c>
      <c r="F10" s="1085">
        <v>0.25</v>
      </c>
      <c r="G10" s="130">
        <f>E14*F10</f>
        <v>331875243.49729216</v>
      </c>
      <c r="H10" s="460">
        <v>1</v>
      </c>
      <c r="I10" s="130">
        <f>G10*H10</f>
        <v>331875243.49729216</v>
      </c>
      <c r="J10" s="460">
        <v>1</v>
      </c>
      <c r="K10" s="458">
        <f>I10*J10</f>
        <v>331875243.49729216</v>
      </c>
      <c r="L10" s="129">
        <f>H10</f>
        <v>1</v>
      </c>
      <c r="M10" s="458">
        <f>K10*L10</f>
        <v>331875243.49729216</v>
      </c>
      <c r="N10" s="129">
        <f>J10</f>
        <v>1</v>
      </c>
      <c r="O10" s="458">
        <f>M10*N10</f>
        <v>331875243.49729216</v>
      </c>
      <c r="P10" s="129">
        <f>L10</f>
        <v>1</v>
      </c>
      <c r="Q10" s="458">
        <f>O10*P10</f>
        <v>331875243.49729216</v>
      </c>
      <c r="R10" s="129">
        <f>N10</f>
        <v>1</v>
      </c>
      <c r="S10" s="458">
        <f>Q10*R10</f>
        <v>331875243.49729216</v>
      </c>
      <c r="T10" s="129">
        <f>P10</f>
        <v>1</v>
      </c>
      <c r="U10" s="458">
        <f>S10*T10</f>
        <v>331875243.49729216</v>
      </c>
      <c r="V10" s="129">
        <f>R10</f>
        <v>1</v>
      </c>
      <c r="W10" s="458">
        <f>U10*V10</f>
        <v>331875243.49729216</v>
      </c>
      <c r="X10" s="129">
        <f>T10</f>
        <v>1</v>
      </c>
      <c r="Y10" s="458">
        <f>W10*X10</f>
        <v>331875243.49729216</v>
      </c>
      <c r="Z10" s="129">
        <f>V10</f>
        <v>1</v>
      </c>
      <c r="AA10" s="458">
        <f>Y10*Z10</f>
        <v>331875243.49729216</v>
      </c>
      <c r="AB10" s="129">
        <f>X10</f>
        <v>1</v>
      </c>
      <c r="AC10" s="458">
        <f>AA10*AB10</f>
        <v>331875243.49729216</v>
      </c>
      <c r="AD10" s="129">
        <f>Z10</f>
        <v>1</v>
      </c>
      <c r="AE10" s="458">
        <f>AC10*AD10</f>
        <v>331875243.49729216</v>
      </c>
      <c r="AF10" s="129">
        <f>AB10</f>
        <v>1</v>
      </c>
      <c r="AG10" s="458">
        <f>AE10*AF10</f>
        <v>331875243.49729216</v>
      </c>
      <c r="AH10" s="129">
        <f>AD10</f>
        <v>1</v>
      </c>
      <c r="AI10" s="458">
        <f>AG10*AH10</f>
        <v>331875243.49729216</v>
      </c>
      <c r="AJ10" s="129">
        <f>AF10</f>
        <v>1</v>
      </c>
      <c r="AK10" s="458">
        <f>AI10*AJ10</f>
        <v>331875243.49729216</v>
      </c>
      <c r="AL10" s="129">
        <f>AH10</f>
        <v>1</v>
      </c>
      <c r="AM10" s="458">
        <f>AK10*AL10</f>
        <v>331875243.49729216</v>
      </c>
      <c r="AN10" s="129">
        <f>AJ10</f>
        <v>1</v>
      </c>
      <c r="AO10" s="458">
        <f>AM10*AN10</f>
        <v>331875243.49729216</v>
      </c>
      <c r="AP10" s="129">
        <f>AL10</f>
        <v>1</v>
      </c>
      <c r="AQ10" s="458">
        <f>AO10*AP10</f>
        <v>331875243.49729216</v>
      </c>
      <c r="AR10" s="129">
        <f>AN10</f>
        <v>1</v>
      </c>
      <c r="AS10" s="458">
        <f>AQ10*AR10</f>
        <v>331875243.49729216</v>
      </c>
      <c r="AT10" s="129">
        <f>AP10</f>
        <v>1</v>
      </c>
      <c r="AU10" s="458">
        <f>AS10*AT10</f>
        <v>331875243.49729216</v>
      </c>
      <c r="AV10" s="129">
        <f>AR10</f>
        <v>1</v>
      </c>
      <c r="AW10" s="458">
        <f>AU10*AV10</f>
        <v>331875243.49729216</v>
      </c>
      <c r="AX10" s="129">
        <f>AT10</f>
        <v>1</v>
      </c>
      <c r="AY10" s="458">
        <f>AW10*AX10</f>
        <v>331875243.49729216</v>
      </c>
      <c r="AZ10" s="129">
        <f>AV10</f>
        <v>1</v>
      </c>
      <c r="BA10" s="458">
        <f>AY10*AZ10</f>
        <v>331875243.49729216</v>
      </c>
      <c r="BB10" s="129">
        <f>AX10</f>
        <v>1</v>
      </c>
      <c r="BC10" s="458">
        <f>BA10*BB10</f>
        <v>331875243.49729216</v>
      </c>
      <c r="BD10" s="129">
        <f>AR10</f>
        <v>1</v>
      </c>
      <c r="BE10" s="458">
        <f>BC10*BD10</f>
        <v>331875243.49729216</v>
      </c>
      <c r="BF10" s="129">
        <f>AT10</f>
        <v>1</v>
      </c>
      <c r="BG10" s="458">
        <f>BE10*BF10</f>
        <v>331875243.49729216</v>
      </c>
      <c r="BH10" s="129">
        <f>BD10</f>
        <v>1</v>
      </c>
      <c r="BI10" s="458">
        <f>BG10*BH10</f>
        <v>331875243.49729216</v>
      </c>
      <c r="BJ10" s="129">
        <f>BF10</f>
        <v>1</v>
      </c>
      <c r="BK10" s="458">
        <f>BI10*BJ10</f>
        <v>331875243.49729216</v>
      </c>
      <c r="BL10" s="129">
        <f>BH10</f>
        <v>1</v>
      </c>
      <c r="BM10" s="458">
        <f>BK10*BL10</f>
        <v>331875243.49729216</v>
      </c>
      <c r="BN10" s="129">
        <f>BJ10</f>
        <v>1</v>
      </c>
      <c r="BO10" s="458">
        <f>BM10*BN10</f>
        <v>331875243.49729216</v>
      </c>
      <c r="BP10" s="129">
        <f>BL10</f>
        <v>1</v>
      </c>
      <c r="BQ10" s="458">
        <f>BO10*BP10</f>
        <v>331875243.49729216</v>
      </c>
      <c r="BR10" s="129">
        <f>BN10</f>
        <v>1</v>
      </c>
      <c r="BS10" s="458">
        <f>BQ10*BR10</f>
        <v>331875243.49729216</v>
      </c>
      <c r="BT10" s="129">
        <f>BP10</f>
        <v>1</v>
      </c>
      <c r="BU10" s="458">
        <f>BS10*BT10</f>
        <v>331875243.49729216</v>
      </c>
      <c r="BV10" s="129">
        <f>BR10</f>
        <v>1</v>
      </c>
      <c r="BW10" s="458">
        <f>BU10*BV10</f>
        <v>331875243.49729216</v>
      </c>
      <c r="BX10" s="129">
        <f>BT10</f>
        <v>1</v>
      </c>
      <c r="BY10" s="458">
        <f>BW10*BX10</f>
        <v>331875243.49729216</v>
      </c>
      <c r="BZ10" s="129">
        <f>BV10</f>
        <v>1</v>
      </c>
      <c r="CA10" s="458">
        <f>BY10*BZ10</f>
        <v>331875243.49729216</v>
      </c>
      <c r="CB10" s="129">
        <f>BX10</f>
        <v>1</v>
      </c>
      <c r="CC10" s="458">
        <f>CA10*CB10</f>
        <v>331875243.49729216</v>
      </c>
      <c r="CD10" s="129">
        <f>BZ10</f>
        <v>1</v>
      </c>
      <c r="CE10" s="458">
        <f>CC10*CD10</f>
        <v>331875243.49729216</v>
      </c>
      <c r="CF10" s="129">
        <f>CB10</f>
        <v>1</v>
      </c>
      <c r="CG10" s="458">
        <f>CE10*CF10</f>
        <v>331875243.49729216</v>
      </c>
      <c r="CH10" s="129">
        <f>CD10</f>
        <v>1</v>
      </c>
      <c r="CI10" s="458">
        <f>CG10*CH10</f>
        <v>331875243.49729216</v>
      </c>
      <c r="CJ10" s="129">
        <f>BX10</f>
        <v>1</v>
      </c>
      <c r="CK10" s="458">
        <f>CI10*CJ10</f>
        <v>331875243.49729216</v>
      </c>
      <c r="CL10" s="129">
        <f>BZ10</f>
        <v>1</v>
      </c>
      <c r="CM10" s="458">
        <f>CK10*CL10</f>
        <v>331875243.49729216</v>
      </c>
      <c r="CN10" s="129">
        <f>CJ10</f>
        <v>1</v>
      </c>
      <c r="CO10" s="458">
        <f>CM10*CN10</f>
        <v>331875243.49729216</v>
      </c>
      <c r="CP10" s="129">
        <f>CL10</f>
        <v>1</v>
      </c>
      <c r="CQ10" s="458">
        <f>CO10*CP10</f>
        <v>331875243.49729216</v>
      </c>
      <c r="CR10" s="129">
        <f>AB10</f>
        <v>1</v>
      </c>
      <c r="CS10" s="458">
        <f>CQ10*CR10</f>
        <v>331875243.49729216</v>
      </c>
      <c r="CT10" s="129">
        <f>AD10</f>
        <v>1</v>
      </c>
      <c r="CU10" s="458">
        <f>CS10*CT10</f>
        <v>331875243.49729216</v>
      </c>
      <c r="CV10" s="129">
        <f>CR10</f>
        <v>1</v>
      </c>
      <c r="CW10" s="458">
        <f>CU10*CV10</f>
        <v>331875243.49729216</v>
      </c>
      <c r="CX10" s="129">
        <f>CT10</f>
        <v>1</v>
      </c>
      <c r="CY10" s="458">
        <f>CW10*CX10</f>
        <v>331875243.49729216</v>
      </c>
      <c r="CZ10" s="719">
        <f>G10+I10+M10+Q10+U10+Y10+AC10+AG10+AK10+AO10+AS10+AW10+BA10+BE10+BI10+BM10+BQ10+BU10+BY10+CC10+CG10+CK10+CO10+CS10+CW10</f>
        <v>8296881087.4323072</v>
      </c>
      <c r="DB10" s="590">
        <f>CV10</f>
        <v>1</v>
      </c>
      <c r="DC10" s="458">
        <f>CY10*DB10</f>
        <v>331875243.49729216</v>
      </c>
      <c r="DD10" s="623"/>
      <c r="DE10" s="624"/>
      <c r="DF10" s="628"/>
    </row>
    <row r="11" spans="1:139" ht="16.2" thickBot="1" x14ac:dyDescent="0.35">
      <c r="B11" s="585"/>
      <c r="C11" s="1078"/>
      <c r="D11" s="630" t="s">
        <v>1291</v>
      </c>
      <c r="E11" s="631">
        <f>E8/2</f>
        <v>11942963496.535389</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7"/>
      <c r="BQ11" s="457" t="s">
        <v>283</v>
      </c>
      <c r="BR11" s="122"/>
      <c r="BS11" s="8"/>
      <c r="BT11" s="7"/>
      <c r="BU11" s="457" t="s">
        <v>283</v>
      </c>
      <c r="BV11" s="122"/>
      <c r="BW11" s="8"/>
      <c r="BX11" s="7"/>
      <c r="BY11" s="457" t="s">
        <v>283</v>
      </c>
      <c r="BZ11" s="122"/>
      <c r="CA11" s="8"/>
      <c r="CB11" s="7"/>
      <c r="CC11" s="457" t="s">
        <v>283</v>
      </c>
      <c r="CD11" s="122"/>
      <c r="CE11" s="8"/>
      <c r="CF11" s="7"/>
      <c r="CG11" s="457" t="s">
        <v>283</v>
      </c>
      <c r="CH11" s="122"/>
      <c r="CI11" s="8"/>
      <c r="CJ11" s="7"/>
      <c r="CK11" s="457" t="s">
        <v>283</v>
      </c>
      <c r="CL11" s="122"/>
      <c r="CM11" s="8"/>
      <c r="CN11" s="7"/>
      <c r="CO11" s="457" t="s">
        <v>283</v>
      </c>
      <c r="CP11" s="122"/>
      <c r="CQ11" s="8"/>
      <c r="CR11" s="7"/>
      <c r="CS11" s="457" t="s">
        <v>283</v>
      </c>
      <c r="CT11" s="122"/>
      <c r="CU11" s="8"/>
      <c r="CV11" s="122"/>
      <c r="CW11" s="457" t="s">
        <v>283</v>
      </c>
      <c r="CX11" s="122"/>
      <c r="CY11" s="8"/>
      <c r="CZ11" s="126"/>
      <c r="DB11" s="122"/>
      <c r="DC11" s="457" t="s">
        <v>283</v>
      </c>
      <c r="DD11" s="623"/>
      <c r="DE11" s="623"/>
      <c r="DF11" s="628"/>
    </row>
    <row r="12" spans="1:139" ht="16.2" thickBot="1" x14ac:dyDescent="0.35">
      <c r="B12" s="584"/>
      <c r="E12" s="997">
        <f>E9*E10</f>
        <v>0</v>
      </c>
      <c r="F12" s="1086">
        <v>0.25</v>
      </c>
      <c r="G12" s="135">
        <f>E14*F12</f>
        <v>331875243.49729216</v>
      </c>
      <c r="H12" s="461">
        <v>1</v>
      </c>
      <c r="I12" s="135">
        <f>G12*H12</f>
        <v>331875243.49729216</v>
      </c>
      <c r="J12" s="461">
        <v>1</v>
      </c>
      <c r="K12" s="440">
        <f>I12*J12</f>
        <v>331875243.49729216</v>
      </c>
      <c r="L12" s="133">
        <f>H12</f>
        <v>1</v>
      </c>
      <c r="M12" s="440">
        <f>K12*L12</f>
        <v>331875243.49729216</v>
      </c>
      <c r="N12" s="133">
        <f>J12</f>
        <v>1</v>
      </c>
      <c r="O12" s="440">
        <f>M12*N12</f>
        <v>331875243.49729216</v>
      </c>
      <c r="P12" s="133">
        <f>L12</f>
        <v>1</v>
      </c>
      <c r="Q12" s="440">
        <f>O12*P12</f>
        <v>331875243.49729216</v>
      </c>
      <c r="R12" s="133">
        <f>N12</f>
        <v>1</v>
      </c>
      <c r="S12" s="440">
        <f>Q12*R12</f>
        <v>331875243.49729216</v>
      </c>
      <c r="T12" s="133">
        <f>P12</f>
        <v>1</v>
      </c>
      <c r="U12" s="440">
        <f>S12*T12</f>
        <v>331875243.49729216</v>
      </c>
      <c r="V12" s="133">
        <f>R12</f>
        <v>1</v>
      </c>
      <c r="W12" s="440">
        <f>U12*V12</f>
        <v>331875243.49729216</v>
      </c>
      <c r="X12" s="133">
        <f>T12</f>
        <v>1</v>
      </c>
      <c r="Y12" s="440">
        <f>W12*X12</f>
        <v>331875243.49729216</v>
      </c>
      <c r="Z12" s="133">
        <f>V12</f>
        <v>1</v>
      </c>
      <c r="AA12" s="440">
        <f>Y12*Z12</f>
        <v>331875243.49729216</v>
      </c>
      <c r="AB12" s="133">
        <f>X12</f>
        <v>1</v>
      </c>
      <c r="AC12" s="440">
        <f>AA12*AB12</f>
        <v>331875243.49729216</v>
      </c>
      <c r="AD12" s="133">
        <f>Z12</f>
        <v>1</v>
      </c>
      <c r="AE12" s="440">
        <f>AC12*AD12</f>
        <v>331875243.49729216</v>
      </c>
      <c r="AF12" s="133">
        <f>AB12</f>
        <v>1</v>
      </c>
      <c r="AG12" s="440">
        <f>AE12*AF12</f>
        <v>331875243.49729216</v>
      </c>
      <c r="AH12" s="133">
        <f>AD12</f>
        <v>1</v>
      </c>
      <c r="AI12" s="440">
        <f>AG12*AH12</f>
        <v>331875243.49729216</v>
      </c>
      <c r="AJ12" s="133">
        <f>AF12</f>
        <v>1</v>
      </c>
      <c r="AK12" s="440">
        <f>AI12*AJ12</f>
        <v>331875243.49729216</v>
      </c>
      <c r="AL12" s="133">
        <f>AH12</f>
        <v>1</v>
      </c>
      <c r="AM12" s="440">
        <f>AK12*AL12</f>
        <v>331875243.49729216</v>
      </c>
      <c r="AN12" s="133">
        <f>AJ12</f>
        <v>1</v>
      </c>
      <c r="AO12" s="440">
        <f>AM12*AN12</f>
        <v>331875243.49729216</v>
      </c>
      <c r="AP12" s="133">
        <f>AL12</f>
        <v>1</v>
      </c>
      <c r="AQ12" s="440">
        <f>AO12*AP12</f>
        <v>331875243.49729216</v>
      </c>
      <c r="AR12" s="133">
        <f>AN12</f>
        <v>1</v>
      </c>
      <c r="AS12" s="440">
        <f>AQ12*AR12</f>
        <v>331875243.49729216</v>
      </c>
      <c r="AT12" s="133">
        <f>AP12</f>
        <v>1</v>
      </c>
      <c r="AU12" s="440">
        <f>AS12*AT12</f>
        <v>331875243.49729216</v>
      </c>
      <c r="AV12" s="133">
        <f>AR12</f>
        <v>1</v>
      </c>
      <c r="AW12" s="440">
        <f>AU12*AV12</f>
        <v>331875243.49729216</v>
      </c>
      <c r="AX12" s="133">
        <f>AT12</f>
        <v>1</v>
      </c>
      <c r="AY12" s="440">
        <f>AW12*AX12</f>
        <v>331875243.49729216</v>
      </c>
      <c r="AZ12" s="133">
        <f>AV12</f>
        <v>1</v>
      </c>
      <c r="BA12" s="440">
        <f>AY12*AZ12</f>
        <v>331875243.49729216</v>
      </c>
      <c r="BB12" s="133">
        <f>AX12</f>
        <v>1</v>
      </c>
      <c r="BC12" s="440">
        <f>BA12*BB12</f>
        <v>331875243.49729216</v>
      </c>
      <c r="BD12" s="133">
        <f>AR12</f>
        <v>1</v>
      </c>
      <c r="BE12" s="440">
        <f>BC12*BD12</f>
        <v>331875243.49729216</v>
      </c>
      <c r="BF12" s="133">
        <f>AT12</f>
        <v>1</v>
      </c>
      <c r="BG12" s="440">
        <f>BE12*BF12</f>
        <v>331875243.49729216</v>
      </c>
      <c r="BH12" s="133">
        <f>BD12</f>
        <v>1</v>
      </c>
      <c r="BI12" s="440">
        <f>BG12*BH12</f>
        <v>331875243.49729216</v>
      </c>
      <c r="BJ12" s="133">
        <f>BF12</f>
        <v>1</v>
      </c>
      <c r="BK12" s="440">
        <f>BI12*BJ12</f>
        <v>331875243.49729216</v>
      </c>
      <c r="BL12" s="133">
        <f>BH12</f>
        <v>1</v>
      </c>
      <c r="BM12" s="440">
        <f>BK12*BL12</f>
        <v>331875243.49729216</v>
      </c>
      <c r="BN12" s="133">
        <f>BJ12</f>
        <v>1</v>
      </c>
      <c r="BO12" s="440">
        <f>BM12*BN12</f>
        <v>331875243.49729216</v>
      </c>
      <c r="BP12" s="133">
        <f>BL12</f>
        <v>1</v>
      </c>
      <c r="BQ12" s="440">
        <f>BO12*BP12</f>
        <v>331875243.49729216</v>
      </c>
      <c r="BR12" s="133">
        <f>BN12</f>
        <v>1</v>
      </c>
      <c r="BS12" s="440">
        <f>BQ12*BR12</f>
        <v>331875243.49729216</v>
      </c>
      <c r="BT12" s="133">
        <f>BP12</f>
        <v>1</v>
      </c>
      <c r="BU12" s="440">
        <f>BS12*BT12</f>
        <v>331875243.49729216</v>
      </c>
      <c r="BV12" s="133">
        <f>BR12</f>
        <v>1</v>
      </c>
      <c r="BW12" s="440">
        <f>BU12*BV12</f>
        <v>331875243.49729216</v>
      </c>
      <c r="BX12" s="133">
        <f>BT12</f>
        <v>1</v>
      </c>
      <c r="BY12" s="440">
        <f>BW12*BX12</f>
        <v>331875243.49729216</v>
      </c>
      <c r="BZ12" s="133">
        <f>BV12</f>
        <v>1</v>
      </c>
      <c r="CA12" s="440">
        <f>BY12*BZ12</f>
        <v>331875243.49729216</v>
      </c>
      <c r="CB12" s="133">
        <f>BX12</f>
        <v>1</v>
      </c>
      <c r="CC12" s="440">
        <f>CA12*CB12</f>
        <v>331875243.49729216</v>
      </c>
      <c r="CD12" s="133">
        <f>BZ12</f>
        <v>1</v>
      </c>
      <c r="CE12" s="440">
        <f>CC12*CD12</f>
        <v>331875243.49729216</v>
      </c>
      <c r="CF12" s="133">
        <f>CB12</f>
        <v>1</v>
      </c>
      <c r="CG12" s="440">
        <f>CE12*CF12</f>
        <v>331875243.49729216</v>
      </c>
      <c r="CH12" s="133">
        <f>CD12</f>
        <v>1</v>
      </c>
      <c r="CI12" s="440">
        <f>CG12*CH12</f>
        <v>331875243.49729216</v>
      </c>
      <c r="CJ12" s="133">
        <f>BX12</f>
        <v>1</v>
      </c>
      <c r="CK12" s="440">
        <f>CI12*CJ12</f>
        <v>331875243.49729216</v>
      </c>
      <c r="CL12" s="133">
        <f>BZ12</f>
        <v>1</v>
      </c>
      <c r="CM12" s="440">
        <f>CK12*CL12</f>
        <v>331875243.49729216</v>
      </c>
      <c r="CN12" s="133">
        <f>CJ12</f>
        <v>1</v>
      </c>
      <c r="CO12" s="440">
        <f>CM12*CN12</f>
        <v>331875243.49729216</v>
      </c>
      <c r="CP12" s="133">
        <f>CL12</f>
        <v>1</v>
      </c>
      <c r="CQ12" s="440">
        <f>CO12*CP12</f>
        <v>331875243.49729216</v>
      </c>
      <c r="CR12" s="133">
        <f>AB12</f>
        <v>1</v>
      </c>
      <c r="CS12" s="440">
        <f>CQ12*CR12</f>
        <v>331875243.49729216</v>
      </c>
      <c r="CT12" s="133">
        <f>AD12</f>
        <v>1</v>
      </c>
      <c r="CU12" s="440">
        <f>CS12*CT12</f>
        <v>331875243.49729216</v>
      </c>
      <c r="CV12" s="133">
        <f>CR12</f>
        <v>1</v>
      </c>
      <c r="CW12" s="440">
        <f>CU12*CV12</f>
        <v>331875243.49729216</v>
      </c>
      <c r="CX12" s="133">
        <f>CT12</f>
        <v>1</v>
      </c>
      <c r="CY12" s="440">
        <f>CW12*CX12</f>
        <v>331875243.49729216</v>
      </c>
      <c r="CZ12" s="719">
        <f>G12+I12+M12+Q12+U12+Y12+AC12+AG12+AK12+AO12+AS12+AW12+BA12+BE12+BI12+BM12+BQ12+BU12+BY12+CC12+CG12+CK12+CO12+CS12+CW12</f>
        <v>8296881087.4323072</v>
      </c>
      <c r="DB12" s="591">
        <f>CV12</f>
        <v>1</v>
      </c>
      <c r="DC12" s="440">
        <f>CY12*DB12</f>
        <v>331875243.49729216</v>
      </c>
      <c r="DD12" s="623"/>
      <c r="DE12" s="624"/>
      <c r="DF12" s="628"/>
    </row>
    <row r="13" spans="1:139"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7"/>
      <c r="BQ13" s="451" t="s">
        <v>284</v>
      </c>
      <c r="BR13" s="122"/>
      <c r="BS13" s="8"/>
      <c r="BT13" s="7"/>
      <c r="BU13" s="451" t="s">
        <v>284</v>
      </c>
      <c r="BV13" s="122"/>
      <c r="BW13" s="8"/>
      <c r="BX13" s="7"/>
      <c r="BY13" s="451" t="s">
        <v>284</v>
      </c>
      <c r="BZ13" s="122"/>
      <c r="CA13" s="8"/>
      <c r="CB13" s="7"/>
      <c r="CC13" s="451" t="s">
        <v>284</v>
      </c>
      <c r="CD13" s="122"/>
      <c r="CE13" s="8"/>
      <c r="CF13" s="7"/>
      <c r="CG13" s="451" t="s">
        <v>284</v>
      </c>
      <c r="CH13" s="122"/>
      <c r="CI13" s="8"/>
      <c r="CJ13" s="7"/>
      <c r="CK13" s="451" t="s">
        <v>284</v>
      </c>
      <c r="CL13" s="122"/>
      <c r="CM13" s="8"/>
      <c r="CN13" s="7"/>
      <c r="CO13" s="451" t="s">
        <v>284</v>
      </c>
      <c r="CP13" s="122"/>
      <c r="CQ13" s="8"/>
      <c r="CR13" s="7"/>
      <c r="CS13" s="451" t="s">
        <v>284</v>
      </c>
      <c r="CT13" s="122"/>
      <c r="CU13" s="8"/>
      <c r="CV13" s="122"/>
      <c r="CW13" s="451" t="s">
        <v>284</v>
      </c>
      <c r="CX13" s="122"/>
      <c r="CY13" s="8"/>
      <c r="CZ13" s="126"/>
      <c r="DB13" s="122"/>
      <c r="DC13" s="451" t="s">
        <v>284</v>
      </c>
      <c r="DD13" s="623"/>
      <c r="DE13" s="623"/>
      <c r="DF13" s="628"/>
    </row>
    <row r="14" spans="1:139" ht="16.2" thickBot="1" x14ac:dyDescent="0.35">
      <c r="A14" s="162"/>
      <c r="B14" s="162"/>
      <c r="C14" s="137" t="s">
        <v>291</v>
      </c>
      <c r="D14" s="1212">
        <v>0.111153397929607</v>
      </c>
      <c r="E14" s="139">
        <f>E11*D14</f>
        <v>1327500973.9891686</v>
      </c>
      <c r="F14" s="1088">
        <v>0.5</v>
      </c>
      <c r="G14" s="139">
        <f>E14*F14</f>
        <v>663750486.99458432</v>
      </c>
      <c r="H14" s="463">
        <v>1</v>
      </c>
      <c r="I14" s="139">
        <f>G14*H14</f>
        <v>663750486.99458432</v>
      </c>
      <c r="J14" s="463">
        <v>1</v>
      </c>
      <c r="K14" s="441">
        <f>I14*J14</f>
        <v>663750486.99458432</v>
      </c>
      <c r="L14" s="140">
        <f>H14</f>
        <v>1</v>
      </c>
      <c r="M14" s="441">
        <f>K14*L14</f>
        <v>663750486.99458432</v>
      </c>
      <c r="N14" s="140">
        <f>J14</f>
        <v>1</v>
      </c>
      <c r="O14" s="441">
        <f>M14*N14</f>
        <v>663750486.99458432</v>
      </c>
      <c r="P14" s="140">
        <f>L14</f>
        <v>1</v>
      </c>
      <c r="Q14" s="441">
        <f>O14*P14</f>
        <v>663750486.99458432</v>
      </c>
      <c r="R14" s="140">
        <f>N14</f>
        <v>1</v>
      </c>
      <c r="S14" s="441">
        <f>Q14*R14</f>
        <v>663750486.99458432</v>
      </c>
      <c r="T14" s="140">
        <f>P14</f>
        <v>1</v>
      </c>
      <c r="U14" s="441">
        <f>S14*T14</f>
        <v>663750486.99458432</v>
      </c>
      <c r="V14" s="140">
        <f>R14</f>
        <v>1</v>
      </c>
      <c r="W14" s="441">
        <f>U14*V14</f>
        <v>663750486.99458432</v>
      </c>
      <c r="X14" s="140">
        <f>T14</f>
        <v>1</v>
      </c>
      <c r="Y14" s="441">
        <f>W14*X14</f>
        <v>663750486.99458432</v>
      </c>
      <c r="Z14" s="140">
        <f>V14</f>
        <v>1</v>
      </c>
      <c r="AA14" s="441">
        <f>Y14*Z14</f>
        <v>663750486.99458432</v>
      </c>
      <c r="AB14" s="140">
        <f>X14</f>
        <v>1</v>
      </c>
      <c r="AC14" s="441">
        <f>AA14*AB14</f>
        <v>663750486.99458432</v>
      </c>
      <c r="AD14" s="140">
        <f>Z14</f>
        <v>1</v>
      </c>
      <c r="AE14" s="441">
        <f>AC14*AD14</f>
        <v>663750486.99458432</v>
      </c>
      <c r="AF14" s="140">
        <f>AB14</f>
        <v>1</v>
      </c>
      <c r="AG14" s="441">
        <f>AE14*AF14</f>
        <v>663750486.99458432</v>
      </c>
      <c r="AH14" s="140">
        <f>AD14</f>
        <v>1</v>
      </c>
      <c r="AI14" s="441">
        <f>AG14*AH14</f>
        <v>663750486.99458432</v>
      </c>
      <c r="AJ14" s="140">
        <f>AF14</f>
        <v>1</v>
      </c>
      <c r="AK14" s="441">
        <f>AI14*AJ14</f>
        <v>663750486.99458432</v>
      </c>
      <c r="AL14" s="140">
        <f>AH14</f>
        <v>1</v>
      </c>
      <c r="AM14" s="441">
        <f>AK14*AL14</f>
        <v>663750486.99458432</v>
      </c>
      <c r="AN14" s="140">
        <f>AJ14</f>
        <v>1</v>
      </c>
      <c r="AO14" s="441">
        <f>AM14*AN14</f>
        <v>663750486.99458432</v>
      </c>
      <c r="AP14" s="140">
        <f>AL14</f>
        <v>1</v>
      </c>
      <c r="AQ14" s="441">
        <f>AO14*AP14</f>
        <v>663750486.99458432</v>
      </c>
      <c r="AR14" s="140">
        <f>AN14</f>
        <v>1</v>
      </c>
      <c r="AS14" s="441">
        <f>AQ14*AR14</f>
        <v>663750486.99458432</v>
      </c>
      <c r="AT14" s="140">
        <f>AP14</f>
        <v>1</v>
      </c>
      <c r="AU14" s="441">
        <f>AS14*AT14</f>
        <v>663750486.99458432</v>
      </c>
      <c r="AV14" s="140">
        <f>AR14</f>
        <v>1</v>
      </c>
      <c r="AW14" s="441">
        <f>AU14*AV14</f>
        <v>663750486.99458432</v>
      </c>
      <c r="AX14" s="140">
        <f>AT14</f>
        <v>1</v>
      </c>
      <c r="AY14" s="441">
        <f>AW14*AX14</f>
        <v>663750486.99458432</v>
      </c>
      <c r="AZ14" s="140">
        <f>AV14</f>
        <v>1</v>
      </c>
      <c r="BA14" s="441">
        <f>AY14*AZ14</f>
        <v>663750486.99458432</v>
      </c>
      <c r="BB14" s="140">
        <f>AX14</f>
        <v>1</v>
      </c>
      <c r="BC14" s="441">
        <f>BA14*BB14</f>
        <v>663750486.99458432</v>
      </c>
      <c r="BD14" s="140">
        <f>AR14</f>
        <v>1</v>
      </c>
      <c r="BE14" s="441">
        <f>BC14*BD14</f>
        <v>663750486.99458432</v>
      </c>
      <c r="BF14" s="140">
        <f>AT14</f>
        <v>1</v>
      </c>
      <c r="BG14" s="441">
        <f>BE14*BF14</f>
        <v>663750486.99458432</v>
      </c>
      <c r="BH14" s="140">
        <f>BD14</f>
        <v>1</v>
      </c>
      <c r="BI14" s="441">
        <f>BG14*BH14</f>
        <v>663750486.99458432</v>
      </c>
      <c r="BJ14" s="140">
        <f>BF14</f>
        <v>1</v>
      </c>
      <c r="BK14" s="441">
        <f>BI14*BJ14</f>
        <v>663750486.99458432</v>
      </c>
      <c r="BL14" s="140">
        <f>BH14</f>
        <v>1</v>
      </c>
      <c r="BM14" s="441">
        <f>BK14*BL14</f>
        <v>663750486.99458432</v>
      </c>
      <c r="BN14" s="140">
        <f>BJ14</f>
        <v>1</v>
      </c>
      <c r="BO14" s="441">
        <f>BM14*BN14</f>
        <v>663750486.99458432</v>
      </c>
      <c r="BP14" s="140">
        <f>BL14</f>
        <v>1</v>
      </c>
      <c r="BQ14" s="441">
        <f>BO14*BP14</f>
        <v>663750486.99458432</v>
      </c>
      <c r="BR14" s="140">
        <f>BN14</f>
        <v>1</v>
      </c>
      <c r="BS14" s="441">
        <f>BQ14*BR14</f>
        <v>663750486.99458432</v>
      </c>
      <c r="BT14" s="140">
        <f>BP14</f>
        <v>1</v>
      </c>
      <c r="BU14" s="441">
        <f>BS14*BT14</f>
        <v>663750486.99458432</v>
      </c>
      <c r="BV14" s="140">
        <f>BR14</f>
        <v>1</v>
      </c>
      <c r="BW14" s="441">
        <f>BU14*BV14</f>
        <v>663750486.99458432</v>
      </c>
      <c r="BX14" s="140">
        <f>BT14</f>
        <v>1</v>
      </c>
      <c r="BY14" s="441">
        <f>BW14*BX14</f>
        <v>663750486.99458432</v>
      </c>
      <c r="BZ14" s="140">
        <f>BV14</f>
        <v>1</v>
      </c>
      <c r="CA14" s="441">
        <f>BY14*BZ14</f>
        <v>663750486.99458432</v>
      </c>
      <c r="CB14" s="140">
        <f>BX14</f>
        <v>1</v>
      </c>
      <c r="CC14" s="441">
        <f>CA14*CB14</f>
        <v>663750486.99458432</v>
      </c>
      <c r="CD14" s="140">
        <f>BZ14</f>
        <v>1</v>
      </c>
      <c r="CE14" s="441">
        <f>CC14*CD14</f>
        <v>663750486.99458432</v>
      </c>
      <c r="CF14" s="140">
        <f>CB14</f>
        <v>1</v>
      </c>
      <c r="CG14" s="441">
        <f>CE14*CF14</f>
        <v>663750486.99458432</v>
      </c>
      <c r="CH14" s="140">
        <f>CD14</f>
        <v>1</v>
      </c>
      <c r="CI14" s="441">
        <f>CG14*CH14</f>
        <v>663750486.99458432</v>
      </c>
      <c r="CJ14" s="140">
        <f>BX14</f>
        <v>1</v>
      </c>
      <c r="CK14" s="441">
        <f>CI14*CJ14</f>
        <v>663750486.99458432</v>
      </c>
      <c r="CL14" s="140">
        <f>BZ14</f>
        <v>1</v>
      </c>
      <c r="CM14" s="441">
        <f>CK14*CL14</f>
        <v>663750486.99458432</v>
      </c>
      <c r="CN14" s="140">
        <f>CJ14</f>
        <v>1</v>
      </c>
      <c r="CO14" s="441">
        <f>CM14*CN14</f>
        <v>663750486.99458432</v>
      </c>
      <c r="CP14" s="140">
        <f>CL14</f>
        <v>1</v>
      </c>
      <c r="CQ14" s="441">
        <f>CO14*CP14</f>
        <v>663750486.99458432</v>
      </c>
      <c r="CR14" s="140">
        <f>AB14</f>
        <v>1</v>
      </c>
      <c r="CS14" s="441">
        <f>CQ14*CR14</f>
        <v>663750486.99458432</v>
      </c>
      <c r="CT14" s="140">
        <f>AD14</f>
        <v>1</v>
      </c>
      <c r="CU14" s="441">
        <f>CS14*CT14</f>
        <v>663750486.99458432</v>
      </c>
      <c r="CV14" s="140">
        <f>CR14</f>
        <v>1</v>
      </c>
      <c r="CW14" s="441">
        <f>CU14*CV14</f>
        <v>663750486.99458432</v>
      </c>
      <c r="CX14" s="140">
        <f>CT14</f>
        <v>1</v>
      </c>
      <c r="CY14" s="441">
        <f>CW14*CX14</f>
        <v>663750486.99458432</v>
      </c>
      <c r="CZ14" s="719">
        <f>G14+I14+M14+Q14+U14+Y14+AC14+AG14+AK14+AO14+AS14+AW14+BA14+BE14+BI14+BM14+BQ14+BU14+BY14+CC14+CG14+CK14+CO14+CS14+CW14</f>
        <v>16593762174.864614</v>
      </c>
      <c r="DB14" s="592">
        <f>CV14</f>
        <v>1</v>
      </c>
      <c r="DC14" s="441">
        <f>CY14*DB14</f>
        <v>663750486.99458432</v>
      </c>
      <c r="DD14" s="623"/>
      <c r="DE14" s="624"/>
      <c r="DF14" s="628"/>
    </row>
    <row r="15" spans="1:139"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23"/>
      <c r="DE15" s="623"/>
      <c r="DF15" s="628"/>
    </row>
    <row r="16" spans="1:139"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251"/>
      <c r="BQ16" s="454" t="s">
        <v>744</v>
      </c>
      <c r="BR16" s="455"/>
      <c r="BS16" s="456"/>
      <c r="BT16" s="251"/>
      <c r="BU16" s="454" t="s">
        <v>744</v>
      </c>
      <c r="BV16" s="455"/>
      <c r="BW16" s="456"/>
      <c r="BX16" s="251"/>
      <c r="BY16" s="454" t="s">
        <v>744</v>
      </c>
      <c r="BZ16" s="455"/>
      <c r="CA16" s="456"/>
      <c r="CB16" s="251"/>
      <c r="CC16" s="454" t="s">
        <v>744</v>
      </c>
      <c r="CD16" s="455"/>
      <c r="CE16" s="456"/>
      <c r="CF16" s="251"/>
      <c r="CG16" s="454" t="s">
        <v>744</v>
      </c>
      <c r="CH16" s="455"/>
      <c r="CI16" s="456"/>
      <c r="CJ16" s="251"/>
      <c r="CK16" s="454" t="s">
        <v>744</v>
      </c>
      <c r="CL16" s="455"/>
      <c r="CM16" s="456"/>
      <c r="CN16" s="251"/>
      <c r="CO16" s="454" t="s">
        <v>744</v>
      </c>
      <c r="CP16" s="455"/>
      <c r="CQ16" s="456"/>
      <c r="CR16" s="251"/>
      <c r="CS16" s="454" t="s">
        <v>744</v>
      </c>
      <c r="CT16" s="455"/>
      <c r="CU16" s="456"/>
      <c r="CV16" s="455"/>
      <c r="CW16" s="454" t="s">
        <v>744</v>
      </c>
      <c r="CX16" s="141"/>
      <c r="CY16" s="164"/>
      <c r="CZ16" s="126"/>
      <c r="DB16" s="455"/>
      <c r="DC16" s="454" t="s">
        <v>744</v>
      </c>
      <c r="DD16" s="625"/>
      <c r="DE16" s="625"/>
      <c r="DF16" s="628"/>
      <c r="DS16" s="233"/>
      <c r="DW16" s="233"/>
      <c r="EH16" s="345"/>
      <c r="EI16" s="233"/>
    </row>
    <row r="17" spans="1:141" ht="16.2" thickBot="1" x14ac:dyDescent="0.35">
      <c r="A17" s="18"/>
      <c r="B17" s="18"/>
      <c r="C17" s="397" t="s">
        <v>276</v>
      </c>
      <c r="D17" s="1213">
        <f>100%-D14-D21</f>
        <v>0.5625</v>
      </c>
      <c r="E17" s="399">
        <f>E11*D17</f>
        <v>6717916966.801156</v>
      </c>
      <c r="F17" s="1090">
        <v>1</v>
      </c>
      <c r="G17" s="399">
        <f>E17*F17</f>
        <v>6717916966.801156</v>
      </c>
      <c r="H17" s="464">
        <v>1</v>
      </c>
      <c r="I17" s="399">
        <f>G17*H17</f>
        <v>6717916966.801156</v>
      </c>
      <c r="J17" s="464">
        <v>1</v>
      </c>
      <c r="K17" s="453">
        <f>I17*J17</f>
        <v>6717916966.801156</v>
      </c>
      <c r="L17" s="400">
        <f>H17</f>
        <v>1</v>
      </c>
      <c r="M17" s="453">
        <f>K17*L17</f>
        <v>6717916966.801156</v>
      </c>
      <c r="N17" s="400">
        <f>J17</f>
        <v>1</v>
      </c>
      <c r="O17" s="453">
        <f>M17*N17</f>
        <v>6717916966.801156</v>
      </c>
      <c r="P17" s="400">
        <f>L17</f>
        <v>1</v>
      </c>
      <c r="Q17" s="453">
        <f>O17*P17</f>
        <v>6717916966.801156</v>
      </c>
      <c r="R17" s="400">
        <f>N17</f>
        <v>1</v>
      </c>
      <c r="S17" s="453">
        <f>Q17*R17</f>
        <v>6717916966.801156</v>
      </c>
      <c r="T17" s="400">
        <f>P17</f>
        <v>1</v>
      </c>
      <c r="U17" s="453">
        <f>S17*T17</f>
        <v>6717916966.801156</v>
      </c>
      <c r="V17" s="400">
        <f>R17</f>
        <v>1</v>
      </c>
      <c r="W17" s="453">
        <f>U17*V17</f>
        <v>6717916966.801156</v>
      </c>
      <c r="X17" s="400">
        <f>T17</f>
        <v>1</v>
      </c>
      <c r="Y17" s="453">
        <f>W17*X17</f>
        <v>6717916966.801156</v>
      </c>
      <c r="Z17" s="400">
        <f>V17</f>
        <v>1</v>
      </c>
      <c r="AA17" s="453">
        <f>Y17*Z17</f>
        <v>6717916966.801156</v>
      </c>
      <c r="AB17" s="400">
        <f>X17</f>
        <v>1</v>
      </c>
      <c r="AC17" s="453">
        <f>AA17*AB17</f>
        <v>6717916966.801156</v>
      </c>
      <c r="AD17" s="400">
        <f>Z17</f>
        <v>1</v>
      </c>
      <c r="AE17" s="453">
        <f>AC17*AD17</f>
        <v>6717916966.801156</v>
      </c>
      <c r="AF17" s="400">
        <f>AB17</f>
        <v>1</v>
      </c>
      <c r="AG17" s="453">
        <f>AE17*AF17</f>
        <v>6717916966.801156</v>
      </c>
      <c r="AH17" s="400">
        <f>AD17</f>
        <v>1</v>
      </c>
      <c r="AI17" s="453">
        <f>AG17*AH17</f>
        <v>6717916966.801156</v>
      </c>
      <c r="AJ17" s="400">
        <f>AF17</f>
        <v>1</v>
      </c>
      <c r="AK17" s="453">
        <f>AI17*AJ17</f>
        <v>6717916966.801156</v>
      </c>
      <c r="AL17" s="400">
        <f>AH17</f>
        <v>1</v>
      </c>
      <c r="AM17" s="453">
        <f>AK17*AL17</f>
        <v>6717916966.801156</v>
      </c>
      <c r="AN17" s="400">
        <f>AJ17</f>
        <v>1</v>
      </c>
      <c r="AO17" s="453">
        <f>AM17*AN17</f>
        <v>6717916966.801156</v>
      </c>
      <c r="AP17" s="400">
        <f>AL17</f>
        <v>1</v>
      </c>
      <c r="AQ17" s="453">
        <f>AO17*AP17</f>
        <v>6717916966.801156</v>
      </c>
      <c r="AR17" s="400">
        <f>AN17</f>
        <v>1</v>
      </c>
      <c r="AS17" s="453">
        <f>AQ17*AR17</f>
        <v>6717916966.801156</v>
      </c>
      <c r="AT17" s="400">
        <f>AP17</f>
        <v>1</v>
      </c>
      <c r="AU17" s="453">
        <f>AS17*AT17</f>
        <v>6717916966.801156</v>
      </c>
      <c r="AV17" s="400">
        <f>AR17</f>
        <v>1</v>
      </c>
      <c r="AW17" s="453">
        <f>AU17*AV17</f>
        <v>6717916966.801156</v>
      </c>
      <c r="AX17" s="400">
        <f>AT17</f>
        <v>1</v>
      </c>
      <c r="AY17" s="453">
        <f>AW17*AX17</f>
        <v>6717916966.801156</v>
      </c>
      <c r="AZ17" s="400">
        <f>AV17</f>
        <v>1</v>
      </c>
      <c r="BA17" s="453">
        <f>AY17*AZ17</f>
        <v>6717916966.801156</v>
      </c>
      <c r="BB17" s="400">
        <f>AX17</f>
        <v>1</v>
      </c>
      <c r="BC17" s="453">
        <f>BA17*BB17</f>
        <v>6717916966.801156</v>
      </c>
      <c r="BD17" s="400">
        <f>AR17</f>
        <v>1</v>
      </c>
      <c r="BE17" s="453">
        <f>BC17*BD17</f>
        <v>6717916966.801156</v>
      </c>
      <c r="BF17" s="400">
        <f>AT17</f>
        <v>1</v>
      </c>
      <c r="BG17" s="453">
        <f>BE17*BF17</f>
        <v>6717916966.801156</v>
      </c>
      <c r="BH17" s="400">
        <f>BD17</f>
        <v>1</v>
      </c>
      <c r="BI17" s="453">
        <f>BG17*BH17</f>
        <v>6717916966.801156</v>
      </c>
      <c r="BJ17" s="400">
        <f>BF17</f>
        <v>1</v>
      </c>
      <c r="BK17" s="453">
        <f>BI17*BJ17</f>
        <v>6717916966.801156</v>
      </c>
      <c r="BL17" s="400">
        <f>BH17</f>
        <v>1</v>
      </c>
      <c r="BM17" s="453">
        <f>BK17*BL17</f>
        <v>6717916966.801156</v>
      </c>
      <c r="BN17" s="400">
        <f>BJ17</f>
        <v>1</v>
      </c>
      <c r="BO17" s="453">
        <f>BM17*BN17</f>
        <v>6717916966.801156</v>
      </c>
      <c r="BP17" s="400">
        <f>BL17</f>
        <v>1</v>
      </c>
      <c r="BQ17" s="453">
        <f>BO17*BP17</f>
        <v>6717916966.801156</v>
      </c>
      <c r="BR17" s="400">
        <f>BN17</f>
        <v>1</v>
      </c>
      <c r="BS17" s="453">
        <f>BQ17*BR17</f>
        <v>6717916966.801156</v>
      </c>
      <c r="BT17" s="400">
        <f>BP17</f>
        <v>1</v>
      </c>
      <c r="BU17" s="453">
        <f>BS17*BT17</f>
        <v>6717916966.801156</v>
      </c>
      <c r="BV17" s="400">
        <f>BR17</f>
        <v>1</v>
      </c>
      <c r="BW17" s="453">
        <f>BU17*BV17</f>
        <v>6717916966.801156</v>
      </c>
      <c r="BX17" s="400">
        <f>BT17</f>
        <v>1</v>
      </c>
      <c r="BY17" s="453">
        <f>BW17*BX17</f>
        <v>6717916966.801156</v>
      </c>
      <c r="BZ17" s="400">
        <f>BV17</f>
        <v>1</v>
      </c>
      <c r="CA17" s="453">
        <f>BY17*BZ17</f>
        <v>6717916966.801156</v>
      </c>
      <c r="CB17" s="400">
        <f>BX17</f>
        <v>1</v>
      </c>
      <c r="CC17" s="453">
        <f>CA17*CB17</f>
        <v>6717916966.801156</v>
      </c>
      <c r="CD17" s="400">
        <f>BZ17</f>
        <v>1</v>
      </c>
      <c r="CE17" s="453">
        <f>CC17*CD17</f>
        <v>6717916966.801156</v>
      </c>
      <c r="CF17" s="400">
        <f>CB17</f>
        <v>1</v>
      </c>
      <c r="CG17" s="453">
        <f>CE17*CF17</f>
        <v>6717916966.801156</v>
      </c>
      <c r="CH17" s="400">
        <f>CD17</f>
        <v>1</v>
      </c>
      <c r="CI17" s="453">
        <f>CG17*CH17</f>
        <v>6717916966.801156</v>
      </c>
      <c r="CJ17" s="400">
        <f>BX17</f>
        <v>1</v>
      </c>
      <c r="CK17" s="453">
        <f>CI17*CJ17</f>
        <v>6717916966.801156</v>
      </c>
      <c r="CL17" s="400">
        <f>BZ17</f>
        <v>1</v>
      </c>
      <c r="CM17" s="453">
        <f>CK17*CL17</f>
        <v>6717916966.801156</v>
      </c>
      <c r="CN17" s="400">
        <f>CJ17</f>
        <v>1</v>
      </c>
      <c r="CO17" s="453">
        <f>CM17*CN17</f>
        <v>6717916966.801156</v>
      </c>
      <c r="CP17" s="400">
        <f>CL17</f>
        <v>1</v>
      </c>
      <c r="CQ17" s="453">
        <f>CO17*CP17</f>
        <v>6717916966.801156</v>
      </c>
      <c r="CR17" s="400">
        <f>AB17</f>
        <v>1</v>
      </c>
      <c r="CS17" s="453">
        <f>CQ17*CR17</f>
        <v>6717916966.801156</v>
      </c>
      <c r="CT17" s="400">
        <f>AD17</f>
        <v>1</v>
      </c>
      <c r="CU17" s="453">
        <f>CS17*CT17</f>
        <v>6717916966.801156</v>
      </c>
      <c r="CV17" s="400">
        <f>CR17</f>
        <v>1</v>
      </c>
      <c r="CW17" s="453">
        <f>CU17*CV17</f>
        <v>6717916966.801156</v>
      </c>
      <c r="CX17" s="400">
        <f>CT17</f>
        <v>1</v>
      </c>
      <c r="CY17" s="453">
        <f>CW17*CX17</f>
        <v>6717916966.801156</v>
      </c>
      <c r="CZ17" s="719">
        <f>G17+I17+M17+Q17+U17+Y17+AC17+AG17+AK17+AO17+AS17+AW17+BA17+BE17+BI17+BM17+BQ17+BU17+BY17+CC17+CG17+CK17+CO17+CS17+CW17</f>
        <v>167947924170.02893</v>
      </c>
      <c r="DB17" s="593">
        <f>CV17</f>
        <v>1</v>
      </c>
      <c r="DC17" s="453">
        <f>CY17*DB17</f>
        <v>6717916966.801156</v>
      </c>
      <c r="DD17" s="623"/>
      <c r="DE17" s="624"/>
      <c r="DF17" s="628"/>
      <c r="DV17" s="974" t="s">
        <v>872</v>
      </c>
      <c r="DX17" s="974" t="s">
        <v>872</v>
      </c>
      <c r="EA17" s="974" t="s">
        <v>872</v>
      </c>
    </row>
    <row r="18" spans="1:141"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23"/>
      <c r="DE18" s="623"/>
      <c r="DF18" s="628"/>
      <c r="DV18" s="974" t="s">
        <v>5</v>
      </c>
      <c r="DX18" s="974" t="s">
        <v>7</v>
      </c>
      <c r="EA18" s="77" t="s">
        <v>968</v>
      </c>
    </row>
    <row r="19" spans="1:141"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23"/>
      <c r="DE19" s="623"/>
      <c r="DF19" s="628"/>
      <c r="DI19" s="473"/>
      <c r="DJ19" s="473"/>
      <c r="DK19" s="473"/>
      <c r="DL19" s="473"/>
      <c r="DM19" s="473"/>
      <c r="DN19" s="473"/>
      <c r="DO19" s="473"/>
      <c r="DP19" s="473"/>
      <c r="DQ19" s="473"/>
      <c r="DR19" s="473"/>
      <c r="DS19" s="970"/>
      <c r="DT19" s="485"/>
      <c r="DU19" s="485"/>
      <c r="DV19" s="485" t="s">
        <v>961</v>
      </c>
      <c r="DW19" s="485" t="s">
        <v>967</v>
      </c>
      <c r="DX19" s="485" t="s">
        <v>59</v>
      </c>
      <c r="DY19" s="485" t="s">
        <v>1343</v>
      </c>
      <c r="DZ19" s="485" t="s">
        <v>1344</v>
      </c>
      <c r="EA19" s="485"/>
      <c r="EB19" s="473"/>
      <c r="EC19" s="485" t="s">
        <v>966</v>
      </c>
      <c r="ED19" s="485" t="s">
        <v>974</v>
      </c>
      <c r="EE19" s="485" t="s">
        <v>965</v>
      </c>
      <c r="EF19" s="485" t="s">
        <v>965</v>
      </c>
      <c r="EG19" s="485" t="s">
        <v>1345</v>
      </c>
      <c r="EH19" s="305" t="s">
        <v>1286</v>
      </c>
      <c r="EI19" s="304"/>
    </row>
    <row r="20" spans="1:141"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7"/>
      <c r="BQ20" s="450" t="s">
        <v>285</v>
      </c>
      <c r="BR20" s="122"/>
      <c r="BS20" s="8"/>
      <c r="BT20" s="7"/>
      <c r="BU20" s="450" t="s">
        <v>285</v>
      </c>
      <c r="BV20" s="122"/>
      <c r="BW20" s="8"/>
      <c r="BX20" s="7"/>
      <c r="BY20" s="450" t="s">
        <v>285</v>
      </c>
      <c r="BZ20" s="122"/>
      <c r="CA20" s="8"/>
      <c r="CB20" s="7"/>
      <c r="CC20" s="450" t="s">
        <v>285</v>
      </c>
      <c r="CD20" s="122"/>
      <c r="CE20" s="8"/>
      <c r="CF20" s="7"/>
      <c r="CG20" s="450" t="s">
        <v>285</v>
      </c>
      <c r="CH20" s="122"/>
      <c r="CI20" s="8"/>
      <c r="CJ20" s="7"/>
      <c r="CK20" s="450" t="s">
        <v>285</v>
      </c>
      <c r="CL20" s="122"/>
      <c r="CM20" s="8"/>
      <c r="CN20" s="7"/>
      <c r="CO20" s="450" t="s">
        <v>285</v>
      </c>
      <c r="CP20" s="122"/>
      <c r="CQ20" s="8"/>
      <c r="CR20" s="7"/>
      <c r="CS20" s="450" t="s">
        <v>285</v>
      </c>
      <c r="CT20" s="122"/>
      <c r="CU20" s="8"/>
      <c r="CV20" s="122"/>
      <c r="CW20" s="450" t="s">
        <v>285</v>
      </c>
      <c r="CX20" s="122"/>
      <c r="CY20" s="8"/>
      <c r="CZ20" s="126"/>
      <c r="DB20" s="122"/>
      <c r="DC20" s="450" t="s">
        <v>285</v>
      </c>
      <c r="DD20" s="623"/>
      <c r="DE20" s="623"/>
      <c r="DF20" s="628"/>
      <c r="DI20" s="473"/>
      <c r="DJ20" s="473"/>
      <c r="DK20" s="473"/>
      <c r="DL20" s="473"/>
      <c r="DM20" s="473"/>
      <c r="DN20" s="473"/>
      <c r="DO20" s="473"/>
      <c r="DP20" s="473"/>
      <c r="DQ20" s="473"/>
      <c r="DR20" s="473"/>
      <c r="DS20" s="970"/>
      <c r="DT20" s="485"/>
      <c r="DU20" s="485"/>
      <c r="DV20" s="971">
        <f>'POP Dimensions'!C15</f>
        <v>10737418.24</v>
      </c>
      <c r="DW20" s="954">
        <v>64</v>
      </c>
      <c r="DX20" s="972">
        <f>DW20*DV20</f>
        <v>687194767.36000001</v>
      </c>
      <c r="DY20" s="954">
        <v>16</v>
      </c>
      <c r="DZ20" s="954"/>
      <c r="EA20" s="971">
        <f>DX20*DY20</f>
        <v>10995116277.76</v>
      </c>
      <c r="EB20" s="473"/>
      <c r="EC20" s="485" t="s">
        <v>785</v>
      </c>
      <c r="ED20" s="485"/>
      <c r="EE20" s="485" t="s">
        <v>962</v>
      </c>
      <c r="EF20" s="485" t="s">
        <v>1341</v>
      </c>
      <c r="EG20" s="485" t="s">
        <v>1342</v>
      </c>
      <c r="EH20" s="305"/>
      <c r="EI20" s="304"/>
    </row>
    <row r="21" spans="1:141" ht="16.2" thickBot="1" x14ac:dyDescent="0.35">
      <c r="C21" s="149" t="s">
        <v>737</v>
      </c>
      <c r="D21" s="1214">
        <v>0.32634660207039301</v>
      </c>
      <c r="E21" s="151">
        <f>E11*D21</f>
        <v>3897545555.7450643</v>
      </c>
      <c r="F21" s="1092">
        <v>0.3</v>
      </c>
      <c r="G21" s="151">
        <f>E21*F21</f>
        <v>1169263666.7235193</v>
      </c>
      <c r="H21" s="465">
        <v>1</v>
      </c>
      <c r="I21" s="151">
        <f>G21*H21</f>
        <v>1169263666.7235193</v>
      </c>
      <c r="J21" s="465">
        <v>1</v>
      </c>
      <c r="K21" s="444">
        <f>I21*J21</f>
        <v>1169263666.7235193</v>
      </c>
      <c r="L21" s="152">
        <f>H21</f>
        <v>1</v>
      </c>
      <c r="M21" s="444">
        <f>K21*L21</f>
        <v>1169263666.7235193</v>
      </c>
      <c r="N21" s="152">
        <f>J21</f>
        <v>1</v>
      </c>
      <c r="O21" s="444">
        <f>M21*N21</f>
        <v>1169263666.7235193</v>
      </c>
      <c r="P21" s="152">
        <f>L21</f>
        <v>1</v>
      </c>
      <c r="Q21" s="444">
        <f>O21*P21</f>
        <v>1169263666.7235193</v>
      </c>
      <c r="R21" s="152">
        <f>N21</f>
        <v>1</v>
      </c>
      <c r="S21" s="444">
        <f>Q21*R21</f>
        <v>1169263666.7235193</v>
      </c>
      <c r="T21" s="152">
        <f>P21</f>
        <v>1</v>
      </c>
      <c r="U21" s="444">
        <f>S21*T21</f>
        <v>1169263666.7235193</v>
      </c>
      <c r="V21" s="152">
        <f>R21</f>
        <v>1</v>
      </c>
      <c r="W21" s="444">
        <f>U21*V21</f>
        <v>1169263666.7235193</v>
      </c>
      <c r="X21" s="152">
        <f>T21</f>
        <v>1</v>
      </c>
      <c r="Y21" s="444">
        <f>W21*X21</f>
        <v>1169263666.7235193</v>
      </c>
      <c r="Z21" s="152">
        <f>V21</f>
        <v>1</v>
      </c>
      <c r="AA21" s="444">
        <f>Y21*Z21</f>
        <v>1169263666.7235193</v>
      </c>
      <c r="AB21" s="152">
        <f>X21</f>
        <v>1</v>
      </c>
      <c r="AC21" s="444">
        <f>AA21*AB21</f>
        <v>1169263666.7235193</v>
      </c>
      <c r="AD21" s="152">
        <f>Z21</f>
        <v>1</v>
      </c>
      <c r="AE21" s="444">
        <f>AC21*AD21</f>
        <v>1169263666.7235193</v>
      </c>
      <c r="AF21" s="152">
        <f>AB21</f>
        <v>1</v>
      </c>
      <c r="AG21" s="444">
        <f>AE21*AF21</f>
        <v>1169263666.7235193</v>
      </c>
      <c r="AH21" s="152">
        <f>AD21</f>
        <v>1</v>
      </c>
      <c r="AI21" s="444">
        <f>AG21*AH21</f>
        <v>1169263666.7235193</v>
      </c>
      <c r="AJ21" s="152">
        <f>AF21</f>
        <v>1</v>
      </c>
      <c r="AK21" s="444">
        <f>AI21*AJ21</f>
        <v>1169263666.7235193</v>
      </c>
      <c r="AL21" s="152">
        <f>AH21</f>
        <v>1</v>
      </c>
      <c r="AM21" s="444">
        <f>AK21*AL21</f>
        <v>1169263666.7235193</v>
      </c>
      <c r="AN21" s="152">
        <f>AJ21</f>
        <v>1</v>
      </c>
      <c r="AO21" s="444">
        <f>AM21*AN21</f>
        <v>1169263666.7235193</v>
      </c>
      <c r="AP21" s="152">
        <f>AL21</f>
        <v>1</v>
      </c>
      <c r="AQ21" s="444">
        <f>AO21*AP21</f>
        <v>1169263666.7235193</v>
      </c>
      <c r="AR21" s="152">
        <f>AN21</f>
        <v>1</v>
      </c>
      <c r="AS21" s="444">
        <f>AQ21*AR21</f>
        <v>1169263666.7235193</v>
      </c>
      <c r="AT21" s="152">
        <f>AP21</f>
        <v>1</v>
      </c>
      <c r="AU21" s="444">
        <f>AS21*AT21</f>
        <v>1169263666.7235193</v>
      </c>
      <c r="AV21" s="152">
        <f>AR21</f>
        <v>1</v>
      </c>
      <c r="AW21" s="444">
        <f>AU21*AV21</f>
        <v>1169263666.7235193</v>
      </c>
      <c r="AX21" s="152">
        <f>AT21</f>
        <v>1</v>
      </c>
      <c r="AY21" s="444">
        <f>AW21*AX21</f>
        <v>1169263666.7235193</v>
      </c>
      <c r="AZ21" s="152">
        <f>AV21</f>
        <v>1</v>
      </c>
      <c r="BA21" s="444">
        <f>AY21*AZ21</f>
        <v>1169263666.7235193</v>
      </c>
      <c r="BB21" s="152">
        <f>AX21</f>
        <v>1</v>
      </c>
      <c r="BC21" s="444">
        <f>BA21*BB21</f>
        <v>1169263666.7235193</v>
      </c>
      <c r="BD21" s="152">
        <f>AR21</f>
        <v>1</v>
      </c>
      <c r="BE21" s="444">
        <f>BC21*BD21</f>
        <v>1169263666.7235193</v>
      </c>
      <c r="BF21" s="152">
        <f>AT21</f>
        <v>1</v>
      </c>
      <c r="BG21" s="444">
        <f>BE21*BF21</f>
        <v>1169263666.7235193</v>
      </c>
      <c r="BH21" s="152">
        <f>BD21</f>
        <v>1</v>
      </c>
      <c r="BI21" s="444">
        <f>BG21*BH21</f>
        <v>1169263666.7235193</v>
      </c>
      <c r="BJ21" s="152">
        <f>BF21</f>
        <v>1</v>
      </c>
      <c r="BK21" s="444">
        <f>BI21*BJ21</f>
        <v>1169263666.7235193</v>
      </c>
      <c r="BL21" s="152">
        <f>BH21</f>
        <v>1</v>
      </c>
      <c r="BM21" s="444">
        <f>BK21*BL21</f>
        <v>1169263666.7235193</v>
      </c>
      <c r="BN21" s="152">
        <f>BJ21</f>
        <v>1</v>
      </c>
      <c r="BO21" s="444">
        <f>BM21*BN21</f>
        <v>1169263666.7235193</v>
      </c>
      <c r="BP21" s="152">
        <f>BL21</f>
        <v>1</v>
      </c>
      <c r="BQ21" s="444">
        <f>BO21*BP21</f>
        <v>1169263666.7235193</v>
      </c>
      <c r="BR21" s="152">
        <f>BN21</f>
        <v>1</v>
      </c>
      <c r="BS21" s="444">
        <f>BQ21*BR21</f>
        <v>1169263666.7235193</v>
      </c>
      <c r="BT21" s="152">
        <f>BP21</f>
        <v>1</v>
      </c>
      <c r="BU21" s="444">
        <f>BS21*BT21</f>
        <v>1169263666.7235193</v>
      </c>
      <c r="BV21" s="152">
        <f>BR21</f>
        <v>1</v>
      </c>
      <c r="BW21" s="444">
        <f>BU21*BV21</f>
        <v>1169263666.7235193</v>
      </c>
      <c r="BX21" s="152">
        <f>BT21</f>
        <v>1</v>
      </c>
      <c r="BY21" s="444">
        <f>BW21*BX21</f>
        <v>1169263666.7235193</v>
      </c>
      <c r="BZ21" s="152">
        <f>BV21</f>
        <v>1</v>
      </c>
      <c r="CA21" s="444">
        <f>BY21*BZ21</f>
        <v>1169263666.7235193</v>
      </c>
      <c r="CB21" s="152">
        <f>BX21</f>
        <v>1</v>
      </c>
      <c r="CC21" s="444">
        <f>CA21*CB21</f>
        <v>1169263666.7235193</v>
      </c>
      <c r="CD21" s="152">
        <f>BZ21</f>
        <v>1</v>
      </c>
      <c r="CE21" s="444">
        <f>CC21*CD21</f>
        <v>1169263666.7235193</v>
      </c>
      <c r="CF21" s="152">
        <f>CB21</f>
        <v>1</v>
      </c>
      <c r="CG21" s="444">
        <f>CE21*CF21</f>
        <v>1169263666.7235193</v>
      </c>
      <c r="CH21" s="152">
        <f>CD21</f>
        <v>1</v>
      </c>
      <c r="CI21" s="444">
        <f>CG21*CH21</f>
        <v>1169263666.7235193</v>
      </c>
      <c r="CJ21" s="152">
        <f>BX21</f>
        <v>1</v>
      </c>
      <c r="CK21" s="444">
        <f>CI21*CJ21</f>
        <v>1169263666.7235193</v>
      </c>
      <c r="CL21" s="152">
        <f>BZ21</f>
        <v>1</v>
      </c>
      <c r="CM21" s="444">
        <f>CK21*CL21</f>
        <v>1169263666.7235193</v>
      </c>
      <c r="CN21" s="152">
        <f>CJ21</f>
        <v>1</v>
      </c>
      <c r="CO21" s="444">
        <f>CM21*CN21</f>
        <v>1169263666.7235193</v>
      </c>
      <c r="CP21" s="152">
        <f>CL21</f>
        <v>1</v>
      </c>
      <c r="CQ21" s="444">
        <f>CO21*CP21</f>
        <v>1169263666.7235193</v>
      </c>
      <c r="CR21" s="152">
        <f>AB21</f>
        <v>1</v>
      </c>
      <c r="CS21" s="444">
        <f>CQ21*CR21</f>
        <v>1169263666.7235193</v>
      </c>
      <c r="CT21" s="152">
        <f>AD21</f>
        <v>1</v>
      </c>
      <c r="CU21" s="444">
        <f>CS21*CT21</f>
        <v>1169263666.7235193</v>
      </c>
      <c r="CV21" s="152">
        <f>CR21</f>
        <v>1</v>
      </c>
      <c r="CW21" s="444">
        <f>CU21*CV21</f>
        <v>1169263666.7235193</v>
      </c>
      <c r="CX21" s="152">
        <f>CT21</f>
        <v>1</v>
      </c>
      <c r="CY21" s="444">
        <f>CW21*CX21</f>
        <v>1169263666.7235193</v>
      </c>
      <c r="CZ21" s="719">
        <f>G21+I21+M21+Q21+U21+Y21+AC21+AG21+AK21+AO21+AS21+AW21+BA21+BE21+BI21+BM21+BQ21+BU21+BY21+CC21+CG21+CK21+CO21+CS21+CW21</f>
        <v>29231591668.087967</v>
      </c>
      <c r="DB21" s="594">
        <f>CV21</f>
        <v>1</v>
      </c>
      <c r="DC21" s="444">
        <f>CY21*DB21</f>
        <v>1169263666.7235193</v>
      </c>
      <c r="DD21" s="623"/>
      <c r="DE21" s="624"/>
      <c r="DF21" s="628"/>
      <c r="DI21" s="473"/>
      <c r="DY21" s="976"/>
      <c r="DZ21" s="976"/>
      <c r="EI21" s="913"/>
    </row>
    <row r="22" spans="1:141"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142"/>
      <c r="BQ22" s="449" t="s">
        <v>738</v>
      </c>
      <c r="BR22" s="433"/>
      <c r="BS22" s="434"/>
      <c r="BT22" s="142"/>
      <c r="BU22" s="449" t="s">
        <v>738</v>
      </c>
      <c r="BV22" s="433"/>
      <c r="BW22" s="434"/>
      <c r="BX22" s="142"/>
      <c r="BY22" s="449" t="s">
        <v>738</v>
      </c>
      <c r="BZ22" s="433"/>
      <c r="CA22" s="434"/>
      <c r="CB22" s="142"/>
      <c r="CC22" s="449" t="s">
        <v>738</v>
      </c>
      <c r="CD22" s="433"/>
      <c r="CE22" s="434"/>
      <c r="CF22" s="142"/>
      <c r="CG22" s="449" t="s">
        <v>738</v>
      </c>
      <c r="CH22" s="433"/>
      <c r="CI22" s="434"/>
      <c r="CJ22" s="142"/>
      <c r="CK22" s="449" t="s">
        <v>738</v>
      </c>
      <c r="CL22" s="433"/>
      <c r="CM22" s="434"/>
      <c r="CN22" s="142"/>
      <c r="CO22" s="449" t="s">
        <v>738</v>
      </c>
      <c r="CP22" s="433"/>
      <c r="CQ22" s="434"/>
      <c r="CR22" s="142"/>
      <c r="CS22" s="449" t="s">
        <v>738</v>
      </c>
      <c r="CT22" s="433"/>
      <c r="CU22" s="434"/>
      <c r="CV22" s="437"/>
      <c r="CW22" s="449" t="s">
        <v>738</v>
      </c>
      <c r="CX22" s="433"/>
      <c r="CY22" s="434"/>
      <c r="CZ22" s="180"/>
      <c r="DB22" s="437"/>
      <c r="DC22" s="449" t="s">
        <v>738</v>
      </c>
      <c r="DD22" s="623"/>
      <c r="DE22" s="623"/>
      <c r="DF22" s="628"/>
      <c r="DI22" s="473"/>
      <c r="DP22" s="1" t="s">
        <v>955</v>
      </c>
      <c r="DT22" s="581" t="s">
        <v>964</v>
      </c>
      <c r="DU22" s="75"/>
      <c r="DV22" s="75"/>
      <c r="DW22" s="986"/>
      <c r="DX22" s="896"/>
      <c r="DY22" s="980"/>
      <c r="DZ22" s="980"/>
      <c r="EA22" s="75"/>
      <c r="EC22" s="75"/>
      <c r="ED22" s="76"/>
      <c r="EE22" s="75"/>
      <c r="EF22" s="76">
        <f>EF31</f>
        <v>1372242051.072</v>
      </c>
      <c r="EG22" s="75"/>
      <c r="EH22" s="910"/>
      <c r="EI22" s="304"/>
    </row>
    <row r="23" spans="1:141" ht="16.2" thickBot="1" x14ac:dyDescent="0.35">
      <c r="C23" s="141"/>
      <c r="D23" s="94">
        <f>SUM(D14:D21)</f>
        <v>1</v>
      </c>
      <c r="E23" s="371"/>
      <c r="F23" s="1093">
        <v>0.25</v>
      </c>
      <c r="G23" s="432">
        <f>E21*F23</f>
        <v>974386388.93626606</v>
      </c>
      <c r="H23" s="466">
        <v>1</v>
      </c>
      <c r="I23" s="432">
        <f>G23*H23</f>
        <v>974386388.93626606</v>
      </c>
      <c r="J23" s="466">
        <v>1</v>
      </c>
      <c r="K23" s="449">
        <f>I23*J23</f>
        <v>974386388.93626606</v>
      </c>
      <c r="L23" s="430">
        <f>H23</f>
        <v>1</v>
      </c>
      <c r="M23" s="449">
        <f>K23*L23</f>
        <v>974386388.93626606</v>
      </c>
      <c r="N23" s="430">
        <f>J23</f>
        <v>1</v>
      </c>
      <c r="O23" s="449">
        <f>M23*N23</f>
        <v>974386388.93626606</v>
      </c>
      <c r="P23" s="430">
        <f>L23</f>
        <v>1</v>
      </c>
      <c r="Q23" s="449">
        <f>O23*P23</f>
        <v>974386388.93626606</v>
      </c>
      <c r="R23" s="430">
        <f>N23</f>
        <v>1</v>
      </c>
      <c r="S23" s="449">
        <f>Q23*R23</f>
        <v>974386388.93626606</v>
      </c>
      <c r="T23" s="430">
        <f>P23</f>
        <v>1</v>
      </c>
      <c r="U23" s="449">
        <f>S23*T23</f>
        <v>974386388.93626606</v>
      </c>
      <c r="V23" s="430">
        <f>R23</f>
        <v>1</v>
      </c>
      <c r="W23" s="449">
        <f>U23*V23</f>
        <v>974386388.93626606</v>
      </c>
      <c r="X23" s="430">
        <f>T23</f>
        <v>1</v>
      </c>
      <c r="Y23" s="449">
        <f>W23*X23</f>
        <v>974386388.93626606</v>
      </c>
      <c r="Z23" s="430">
        <f>V23</f>
        <v>1</v>
      </c>
      <c r="AA23" s="449">
        <f>Y23*Z23</f>
        <v>974386388.93626606</v>
      </c>
      <c r="AB23" s="430">
        <f>X23</f>
        <v>1</v>
      </c>
      <c r="AC23" s="449">
        <f>AA23*AB23</f>
        <v>974386388.93626606</v>
      </c>
      <c r="AD23" s="430">
        <f>Z23</f>
        <v>1</v>
      </c>
      <c r="AE23" s="449">
        <f>AC23*AD23</f>
        <v>974386388.93626606</v>
      </c>
      <c r="AF23" s="430">
        <f>AB23</f>
        <v>1</v>
      </c>
      <c r="AG23" s="449">
        <f>AE23*AF23</f>
        <v>974386388.93626606</v>
      </c>
      <c r="AH23" s="430">
        <f>AD23</f>
        <v>1</v>
      </c>
      <c r="AI23" s="449">
        <f>AG23*AH23</f>
        <v>974386388.93626606</v>
      </c>
      <c r="AJ23" s="430">
        <f>AF23</f>
        <v>1</v>
      </c>
      <c r="AK23" s="449">
        <f>AI23*AJ23</f>
        <v>974386388.93626606</v>
      </c>
      <c r="AL23" s="430">
        <f>AH23</f>
        <v>1</v>
      </c>
      <c r="AM23" s="449">
        <f>AK23*AL23</f>
        <v>974386388.93626606</v>
      </c>
      <c r="AN23" s="430">
        <f>AJ23</f>
        <v>1</v>
      </c>
      <c r="AO23" s="449">
        <f>AM23*AN23</f>
        <v>974386388.93626606</v>
      </c>
      <c r="AP23" s="430">
        <f>AL23</f>
        <v>1</v>
      </c>
      <c r="AQ23" s="449">
        <f>AO23*AP23</f>
        <v>974386388.93626606</v>
      </c>
      <c r="AR23" s="430">
        <f>AN23</f>
        <v>1</v>
      </c>
      <c r="AS23" s="449">
        <f>AQ23*AR23</f>
        <v>974386388.93626606</v>
      </c>
      <c r="AT23" s="430">
        <f>AP23</f>
        <v>1</v>
      </c>
      <c r="AU23" s="449">
        <f>AS23*AT23</f>
        <v>974386388.93626606</v>
      </c>
      <c r="AV23" s="430">
        <f>AR23</f>
        <v>1</v>
      </c>
      <c r="AW23" s="449">
        <f>AU23*AV23</f>
        <v>974386388.93626606</v>
      </c>
      <c r="AX23" s="430">
        <f>AT23</f>
        <v>1</v>
      </c>
      <c r="AY23" s="449">
        <f>AW23*AX23</f>
        <v>974386388.93626606</v>
      </c>
      <c r="AZ23" s="430">
        <f>AV23</f>
        <v>1</v>
      </c>
      <c r="BA23" s="449">
        <f>AY23*AZ23</f>
        <v>974386388.93626606</v>
      </c>
      <c r="BB23" s="430">
        <f>AX23</f>
        <v>1</v>
      </c>
      <c r="BC23" s="449">
        <f>BA23*BB23</f>
        <v>974386388.93626606</v>
      </c>
      <c r="BD23" s="430">
        <f>AR23</f>
        <v>1</v>
      </c>
      <c r="BE23" s="449">
        <f>BC23*BD23</f>
        <v>974386388.93626606</v>
      </c>
      <c r="BF23" s="430">
        <f>AT23</f>
        <v>1</v>
      </c>
      <c r="BG23" s="449">
        <f>BE23*BF23</f>
        <v>974386388.93626606</v>
      </c>
      <c r="BH23" s="430">
        <f>BD23</f>
        <v>1</v>
      </c>
      <c r="BI23" s="449">
        <f>BG23*BH23</f>
        <v>974386388.93626606</v>
      </c>
      <c r="BJ23" s="430">
        <f>BF23</f>
        <v>1</v>
      </c>
      <c r="BK23" s="449">
        <f>BI23*BJ23</f>
        <v>974386388.93626606</v>
      </c>
      <c r="BL23" s="430">
        <f>BH23</f>
        <v>1</v>
      </c>
      <c r="BM23" s="449">
        <f>BK23*BL23</f>
        <v>974386388.93626606</v>
      </c>
      <c r="BN23" s="430">
        <f>BJ23</f>
        <v>1</v>
      </c>
      <c r="BO23" s="449">
        <f>BM23*BN23</f>
        <v>974386388.93626606</v>
      </c>
      <c r="BP23" s="430">
        <f>BL23</f>
        <v>1</v>
      </c>
      <c r="BQ23" s="449">
        <f>BO23*BP23</f>
        <v>974386388.93626606</v>
      </c>
      <c r="BR23" s="430">
        <f>BN23</f>
        <v>1</v>
      </c>
      <c r="BS23" s="449">
        <f>BQ23*BR23</f>
        <v>974386388.93626606</v>
      </c>
      <c r="BT23" s="430">
        <f>BP23</f>
        <v>1</v>
      </c>
      <c r="BU23" s="449">
        <f>BS23*BT23</f>
        <v>974386388.93626606</v>
      </c>
      <c r="BV23" s="430">
        <f>BR23</f>
        <v>1</v>
      </c>
      <c r="BW23" s="449">
        <f>BU23*BV23</f>
        <v>974386388.93626606</v>
      </c>
      <c r="BX23" s="430">
        <f>BT23</f>
        <v>1</v>
      </c>
      <c r="BY23" s="449">
        <f>BW23*BX23</f>
        <v>974386388.93626606</v>
      </c>
      <c r="BZ23" s="430">
        <f>BV23</f>
        <v>1</v>
      </c>
      <c r="CA23" s="449">
        <f>BY23*BZ23</f>
        <v>974386388.93626606</v>
      </c>
      <c r="CB23" s="430">
        <f>BX23</f>
        <v>1</v>
      </c>
      <c r="CC23" s="449">
        <f>CA23*CB23</f>
        <v>974386388.93626606</v>
      </c>
      <c r="CD23" s="430">
        <f>BZ23</f>
        <v>1</v>
      </c>
      <c r="CE23" s="449">
        <f>CC23*CD23</f>
        <v>974386388.93626606</v>
      </c>
      <c r="CF23" s="430">
        <f>CB23</f>
        <v>1</v>
      </c>
      <c r="CG23" s="449">
        <f>CE23*CF23</f>
        <v>974386388.93626606</v>
      </c>
      <c r="CH23" s="430">
        <f>CD23</f>
        <v>1</v>
      </c>
      <c r="CI23" s="449">
        <f>CG23*CH23</f>
        <v>974386388.93626606</v>
      </c>
      <c r="CJ23" s="430">
        <f>BX23</f>
        <v>1</v>
      </c>
      <c r="CK23" s="449">
        <f>CI23*CJ23</f>
        <v>974386388.93626606</v>
      </c>
      <c r="CL23" s="430">
        <f>BZ23</f>
        <v>1</v>
      </c>
      <c r="CM23" s="449">
        <f>CK23*CL23</f>
        <v>974386388.93626606</v>
      </c>
      <c r="CN23" s="430">
        <f>CJ23</f>
        <v>1</v>
      </c>
      <c r="CO23" s="449">
        <f>CM23*CN23</f>
        <v>974386388.93626606</v>
      </c>
      <c r="CP23" s="430">
        <f>CL23</f>
        <v>1</v>
      </c>
      <c r="CQ23" s="449">
        <f>CO23*CP23</f>
        <v>974386388.93626606</v>
      </c>
      <c r="CR23" s="430">
        <f>AB23</f>
        <v>1</v>
      </c>
      <c r="CS23" s="449">
        <f>CQ23*CR23</f>
        <v>974386388.93626606</v>
      </c>
      <c r="CT23" s="430">
        <f>AD23</f>
        <v>1</v>
      </c>
      <c r="CU23" s="449">
        <f>CS23*CT23</f>
        <v>974386388.93626606</v>
      </c>
      <c r="CV23" s="430">
        <f>CR23</f>
        <v>1</v>
      </c>
      <c r="CW23" s="449">
        <f>CU23*CV23</f>
        <v>974386388.93626606</v>
      </c>
      <c r="CX23" s="430">
        <f>CT23</f>
        <v>1</v>
      </c>
      <c r="CY23" s="449">
        <f>CW23*CX23</f>
        <v>974386388.93626606</v>
      </c>
      <c r="CZ23" s="719">
        <f>G23+I23+M23+Q23+U23+Y23+AC23+AG23+AK23+AO23+AS23+AW23+BA23+BE23+BI23+BM23+BQ23+BU23+BY23+CC23+CG23+CK23+CO23+CS23+CW23</f>
        <v>24359659723.406666</v>
      </c>
      <c r="DB23" s="595">
        <f>CV23</f>
        <v>1</v>
      </c>
      <c r="DC23" s="449">
        <f>CY23*DB23</f>
        <v>974386388.93626606</v>
      </c>
      <c r="DD23" s="623"/>
      <c r="DE23" s="624"/>
      <c r="DF23" s="628"/>
      <c r="DI23" s="473"/>
      <c r="DN23" s="982" t="s">
        <v>989</v>
      </c>
      <c r="DO23" s="983">
        <v>2016</v>
      </c>
      <c r="DP23" s="910">
        <v>75543543000000</v>
      </c>
      <c r="DQ23" s="984">
        <v>2.5000000000000001E-2</v>
      </c>
      <c r="DR23" s="910">
        <f>DP23*DQ23</f>
        <v>1888588575000</v>
      </c>
      <c r="DT23" s="75"/>
      <c r="DU23" s="968">
        <v>2016</v>
      </c>
      <c r="DV23" s="305">
        <f>DV20</f>
        <v>10737418.24</v>
      </c>
      <c r="DW23" s="986">
        <v>64</v>
      </c>
      <c r="DX23" s="411">
        <f t="shared" ref="DX23:DX35" si="0">DW23*DV23</f>
        <v>687194767.36000001</v>
      </c>
      <c r="DY23" s="980"/>
      <c r="DZ23" s="980"/>
      <c r="EA23" s="305">
        <f t="shared" ref="EA23:EA35" si="1">DX23*DY23</f>
        <v>0</v>
      </c>
      <c r="EC23" s="75"/>
      <c r="ED23" s="76"/>
      <c r="EE23" s="75"/>
      <c r="EF23" s="953">
        <v>25000</v>
      </c>
      <c r="EG23" s="968" t="s">
        <v>1349</v>
      </c>
      <c r="EH23" s="910"/>
      <c r="EI23" s="981">
        <v>2016</v>
      </c>
    </row>
    <row r="24" spans="1:141"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7"/>
      <c r="BQ24" s="448" t="s">
        <v>294</v>
      </c>
      <c r="BR24" s="122"/>
      <c r="BS24" s="8"/>
      <c r="BT24" s="7"/>
      <c r="BU24" s="448" t="s">
        <v>294</v>
      </c>
      <c r="BV24" s="122"/>
      <c r="BW24" s="8"/>
      <c r="BX24" s="7"/>
      <c r="BY24" s="448" t="s">
        <v>294</v>
      </c>
      <c r="BZ24" s="122"/>
      <c r="CA24" s="8"/>
      <c r="CB24" s="7"/>
      <c r="CC24" s="448" t="s">
        <v>294</v>
      </c>
      <c r="CD24" s="122"/>
      <c r="CE24" s="8"/>
      <c r="CF24" s="7"/>
      <c r="CG24" s="448" t="s">
        <v>294</v>
      </c>
      <c r="CH24" s="122"/>
      <c r="CI24" s="8"/>
      <c r="CJ24" s="7"/>
      <c r="CK24" s="448" t="s">
        <v>294</v>
      </c>
      <c r="CL24" s="122"/>
      <c r="CM24" s="8"/>
      <c r="CN24" s="7"/>
      <c r="CO24" s="448" t="s">
        <v>294</v>
      </c>
      <c r="CP24" s="122"/>
      <c r="CQ24" s="8"/>
      <c r="CR24" s="7"/>
      <c r="CS24" s="448" t="s">
        <v>294</v>
      </c>
      <c r="CT24" s="122"/>
      <c r="CU24" s="8"/>
      <c r="CV24" s="122"/>
      <c r="CW24" s="448" t="s">
        <v>294</v>
      </c>
      <c r="CX24" s="122"/>
      <c r="CY24" s="8"/>
      <c r="CZ24" s="126"/>
      <c r="DB24" s="122"/>
      <c r="DC24" s="448" t="s">
        <v>294</v>
      </c>
      <c r="DD24" s="623"/>
      <c r="DE24" s="623"/>
      <c r="DF24" s="628"/>
      <c r="DI24" s="473"/>
      <c r="DN24" s="982" t="s">
        <v>989</v>
      </c>
      <c r="DO24" s="983">
        <f>DO23+1</f>
        <v>2017</v>
      </c>
      <c r="DP24" s="910">
        <f>DP23+DR23</f>
        <v>77432131575000</v>
      </c>
      <c r="DQ24" s="985">
        <f>DQ23</f>
        <v>2.5000000000000001E-2</v>
      </c>
      <c r="DR24" s="910">
        <f>DP24*DQ24</f>
        <v>1935803289375</v>
      </c>
      <c r="DT24" s="75"/>
      <c r="DU24" s="968">
        <f>DU23+1</f>
        <v>2017</v>
      </c>
      <c r="DV24" s="305">
        <f>DV20</f>
        <v>10737418.24</v>
      </c>
      <c r="DW24" s="986">
        <v>64</v>
      </c>
      <c r="DX24" s="411">
        <f t="shared" si="0"/>
        <v>687194767.36000001</v>
      </c>
      <c r="DY24" s="980"/>
      <c r="DZ24" s="980"/>
      <c r="EA24" s="305">
        <f t="shared" si="1"/>
        <v>0</v>
      </c>
      <c r="EC24" s="75"/>
      <c r="ED24" s="76"/>
      <c r="EE24" s="75"/>
      <c r="EF24" s="76">
        <f>EF22/EF23</f>
        <v>54889.682042879998</v>
      </c>
      <c r="EG24" s="75"/>
      <c r="EH24" s="910"/>
      <c r="EI24" s="981">
        <f>EI23+1</f>
        <v>2017</v>
      </c>
    </row>
    <row r="25" spans="1:141" ht="16.2" thickBot="1" x14ac:dyDescent="0.35">
      <c r="C25" s="122"/>
      <c r="D25" s="573" t="s">
        <v>1367</v>
      </c>
      <c r="E25" s="7"/>
      <c r="F25" s="1094">
        <v>0.2</v>
      </c>
      <c r="G25" s="99">
        <f>E21*F25</f>
        <v>779509111.14901292</v>
      </c>
      <c r="H25" s="467">
        <v>1</v>
      </c>
      <c r="I25" s="99">
        <f>G25*H25</f>
        <v>779509111.14901292</v>
      </c>
      <c r="J25" s="467">
        <v>1</v>
      </c>
      <c r="K25" s="443">
        <f>I25*J25</f>
        <v>779509111.14901292</v>
      </c>
      <c r="L25" s="153">
        <f>H25</f>
        <v>1</v>
      </c>
      <c r="M25" s="443">
        <f>K25*L25</f>
        <v>779509111.14901292</v>
      </c>
      <c r="N25" s="153">
        <f>J25</f>
        <v>1</v>
      </c>
      <c r="O25" s="443">
        <f>M25*N25</f>
        <v>779509111.14901292</v>
      </c>
      <c r="P25" s="153">
        <f>L25</f>
        <v>1</v>
      </c>
      <c r="Q25" s="443">
        <f>O25*P25</f>
        <v>779509111.14901292</v>
      </c>
      <c r="R25" s="153">
        <f>N25</f>
        <v>1</v>
      </c>
      <c r="S25" s="443">
        <f>Q25*R25</f>
        <v>779509111.14901292</v>
      </c>
      <c r="T25" s="153">
        <f>P25</f>
        <v>1</v>
      </c>
      <c r="U25" s="443">
        <f>S25*T25</f>
        <v>779509111.14901292</v>
      </c>
      <c r="V25" s="153">
        <f>R25</f>
        <v>1</v>
      </c>
      <c r="W25" s="443">
        <f>U25*V25</f>
        <v>779509111.14901292</v>
      </c>
      <c r="X25" s="153">
        <f>T25</f>
        <v>1</v>
      </c>
      <c r="Y25" s="443">
        <f>W25*X25</f>
        <v>779509111.14901292</v>
      </c>
      <c r="Z25" s="153">
        <f>V25</f>
        <v>1</v>
      </c>
      <c r="AA25" s="443">
        <f>Y25*Z25</f>
        <v>779509111.14901292</v>
      </c>
      <c r="AB25" s="153">
        <f>X25</f>
        <v>1</v>
      </c>
      <c r="AC25" s="443">
        <f>AA25*AB25</f>
        <v>779509111.14901292</v>
      </c>
      <c r="AD25" s="153">
        <f>Z25</f>
        <v>1</v>
      </c>
      <c r="AE25" s="443">
        <f>AC25*AD25</f>
        <v>779509111.14901292</v>
      </c>
      <c r="AF25" s="153">
        <f>AB25</f>
        <v>1</v>
      </c>
      <c r="AG25" s="443">
        <f>AE25*AF25</f>
        <v>779509111.14901292</v>
      </c>
      <c r="AH25" s="153">
        <f>AD25</f>
        <v>1</v>
      </c>
      <c r="AI25" s="443">
        <f>AG25*AH25</f>
        <v>779509111.14901292</v>
      </c>
      <c r="AJ25" s="153">
        <f>AF25</f>
        <v>1</v>
      </c>
      <c r="AK25" s="443">
        <f>AI25*AJ25</f>
        <v>779509111.14901292</v>
      </c>
      <c r="AL25" s="153">
        <f>AH25</f>
        <v>1</v>
      </c>
      <c r="AM25" s="443">
        <f>AK25*AL25</f>
        <v>779509111.14901292</v>
      </c>
      <c r="AN25" s="153">
        <f>AJ25</f>
        <v>1</v>
      </c>
      <c r="AO25" s="443">
        <f>AM25*AN25</f>
        <v>779509111.14901292</v>
      </c>
      <c r="AP25" s="153">
        <f>AL25</f>
        <v>1</v>
      </c>
      <c r="AQ25" s="443">
        <f>AO25*AP25</f>
        <v>779509111.14901292</v>
      </c>
      <c r="AR25" s="153">
        <f>AN25</f>
        <v>1</v>
      </c>
      <c r="AS25" s="443">
        <f>AQ25*AR25</f>
        <v>779509111.14901292</v>
      </c>
      <c r="AT25" s="153">
        <f>AP25</f>
        <v>1</v>
      </c>
      <c r="AU25" s="443">
        <f>AS25*AT25</f>
        <v>779509111.14901292</v>
      </c>
      <c r="AV25" s="153">
        <f>AR25</f>
        <v>1</v>
      </c>
      <c r="AW25" s="443">
        <f>AU25*AV25</f>
        <v>779509111.14901292</v>
      </c>
      <c r="AX25" s="153">
        <f>AT25</f>
        <v>1</v>
      </c>
      <c r="AY25" s="443">
        <f>AW25*AX25</f>
        <v>779509111.14901292</v>
      </c>
      <c r="AZ25" s="153">
        <f>AV25</f>
        <v>1</v>
      </c>
      <c r="BA25" s="443">
        <f>AY25*AZ25</f>
        <v>779509111.14901292</v>
      </c>
      <c r="BB25" s="153">
        <f>AX25</f>
        <v>1</v>
      </c>
      <c r="BC25" s="443">
        <f>BA25*BB25</f>
        <v>779509111.14901292</v>
      </c>
      <c r="BD25" s="153">
        <f>AR25</f>
        <v>1</v>
      </c>
      <c r="BE25" s="443">
        <f>BC25*BD25</f>
        <v>779509111.14901292</v>
      </c>
      <c r="BF25" s="153">
        <f>AT25</f>
        <v>1</v>
      </c>
      <c r="BG25" s="443">
        <f>BE25*BF25</f>
        <v>779509111.14901292</v>
      </c>
      <c r="BH25" s="153">
        <f>BD25</f>
        <v>1</v>
      </c>
      <c r="BI25" s="443">
        <f>BG25*BH25</f>
        <v>779509111.14901292</v>
      </c>
      <c r="BJ25" s="153">
        <f>BF25</f>
        <v>1</v>
      </c>
      <c r="BK25" s="443">
        <f>BI25*BJ25</f>
        <v>779509111.14901292</v>
      </c>
      <c r="BL25" s="153">
        <f>BH25</f>
        <v>1</v>
      </c>
      <c r="BM25" s="443">
        <f>BK25*BL25</f>
        <v>779509111.14901292</v>
      </c>
      <c r="BN25" s="153">
        <f>BJ25</f>
        <v>1</v>
      </c>
      <c r="BO25" s="443">
        <f>BM25*BN25</f>
        <v>779509111.14901292</v>
      </c>
      <c r="BP25" s="153">
        <f>BL25</f>
        <v>1</v>
      </c>
      <c r="BQ25" s="443">
        <f>BO25*BP25</f>
        <v>779509111.14901292</v>
      </c>
      <c r="BR25" s="153">
        <f>BN25</f>
        <v>1</v>
      </c>
      <c r="BS25" s="443">
        <f>BQ25*BR25</f>
        <v>779509111.14901292</v>
      </c>
      <c r="BT25" s="153">
        <f>BP25</f>
        <v>1</v>
      </c>
      <c r="BU25" s="443">
        <f>BS25*BT25</f>
        <v>779509111.14901292</v>
      </c>
      <c r="BV25" s="153">
        <f>BR25</f>
        <v>1</v>
      </c>
      <c r="BW25" s="443">
        <f>BU25*BV25</f>
        <v>779509111.14901292</v>
      </c>
      <c r="BX25" s="153">
        <f>BT25</f>
        <v>1</v>
      </c>
      <c r="BY25" s="443">
        <f>BW25*BX25</f>
        <v>779509111.14901292</v>
      </c>
      <c r="BZ25" s="153">
        <f>BV25</f>
        <v>1</v>
      </c>
      <c r="CA25" s="443">
        <f>BY25*BZ25</f>
        <v>779509111.14901292</v>
      </c>
      <c r="CB25" s="153">
        <f>BX25</f>
        <v>1</v>
      </c>
      <c r="CC25" s="443">
        <f>CA25*CB25</f>
        <v>779509111.14901292</v>
      </c>
      <c r="CD25" s="153">
        <f>BZ25</f>
        <v>1</v>
      </c>
      <c r="CE25" s="443">
        <f>CC25*CD25</f>
        <v>779509111.14901292</v>
      </c>
      <c r="CF25" s="153">
        <f>CB25</f>
        <v>1</v>
      </c>
      <c r="CG25" s="443">
        <f>CE25*CF25</f>
        <v>779509111.14901292</v>
      </c>
      <c r="CH25" s="153">
        <f>CD25</f>
        <v>1</v>
      </c>
      <c r="CI25" s="443">
        <f>CG25*CH25</f>
        <v>779509111.14901292</v>
      </c>
      <c r="CJ25" s="153">
        <f>BX25</f>
        <v>1</v>
      </c>
      <c r="CK25" s="443">
        <f>CI25*CJ25</f>
        <v>779509111.14901292</v>
      </c>
      <c r="CL25" s="153">
        <f>BZ25</f>
        <v>1</v>
      </c>
      <c r="CM25" s="443">
        <f>CK25*CL25</f>
        <v>779509111.14901292</v>
      </c>
      <c r="CN25" s="153">
        <f>CJ25</f>
        <v>1</v>
      </c>
      <c r="CO25" s="443">
        <f>CM25*CN25</f>
        <v>779509111.14901292</v>
      </c>
      <c r="CP25" s="153">
        <f>CL25</f>
        <v>1</v>
      </c>
      <c r="CQ25" s="443">
        <f>CO25*CP25</f>
        <v>779509111.14901292</v>
      </c>
      <c r="CR25" s="153">
        <f>AB25</f>
        <v>1</v>
      </c>
      <c r="CS25" s="443">
        <f>CQ25*CR25</f>
        <v>779509111.14901292</v>
      </c>
      <c r="CT25" s="153">
        <f>AD25</f>
        <v>1</v>
      </c>
      <c r="CU25" s="443">
        <f>CS25*CT25</f>
        <v>779509111.14901292</v>
      </c>
      <c r="CV25" s="153">
        <f>CR25</f>
        <v>1</v>
      </c>
      <c r="CW25" s="443">
        <f>CU25*CV25</f>
        <v>779509111.14901292</v>
      </c>
      <c r="CX25" s="153">
        <f>CT25</f>
        <v>1</v>
      </c>
      <c r="CY25" s="443">
        <f>CW25*CX25</f>
        <v>779509111.14901292</v>
      </c>
      <c r="CZ25" s="719">
        <f>G25+I25+M25+Q25+U25+Y25+AC25+AG25+AK25+AO25+AS25+AW25+BA25+BE25+BI25+BM25+BQ25+BU25+BY25+CC25+CG25+CK25+CO25+CS25+CW25</f>
        <v>19487727778.725327</v>
      </c>
      <c r="DB25" s="596">
        <f>CV25</f>
        <v>1</v>
      </c>
      <c r="DC25" s="443">
        <f>CY25*DB25</f>
        <v>779509111.14901292</v>
      </c>
      <c r="DD25" s="623"/>
      <c r="DE25" s="624"/>
      <c r="DF25" s="628"/>
      <c r="DI25" s="473"/>
      <c r="DN25" s="982" t="s">
        <v>989</v>
      </c>
      <c r="DO25" s="983">
        <f t="shared" ref="DO25:DO35" si="2">DO24+1</f>
        <v>2018</v>
      </c>
      <c r="DP25" s="910">
        <f t="shared" ref="DP25:DP35" si="3">DP24+DR24</f>
        <v>79367934864375</v>
      </c>
      <c r="DQ25" s="985">
        <f t="shared" ref="DQ25:DQ35" si="4">DQ24</f>
        <v>2.5000000000000001E-2</v>
      </c>
      <c r="DR25" s="910">
        <f t="shared" ref="DR25:DR35" si="5">DP25*DQ25</f>
        <v>1984198371609.375</v>
      </c>
      <c r="DT25" s="75"/>
      <c r="DU25" s="968">
        <f t="shared" ref="DU25:DU35" si="6">DU24+1</f>
        <v>2018</v>
      </c>
      <c r="DV25" s="305">
        <f>DV20</f>
        <v>10737418.24</v>
      </c>
      <c r="DW25" s="986">
        <v>64</v>
      </c>
      <c r="DX25" s="411">
        <f t="shared" si="0"/>
        <v>687194767.36000001</v>
      </c>
      <c r="DY25" s="980">
        <v>2.5000000000000001E-2</v>
      </c>
      <c r="DZ25" s="980"/>
      <c r="EA25" s="305">
        <f t="shared" si="1"/>
        <v>17179869.184</v>
      </c>
      <c r="EB25" s="978" t="s">
        <v>1144</v>
      </c>
      <c r="EC25" s="305">
        <f t="shared" ref="EC25:EC55" si="7">EA25</f>
        <v>17179869.184</v>
      </c>
      <c r="ED25" s="691">
        <f t="shared" ref="ED25:ED35" si="8">EC25+ED24-EH25</f>
        <v>17179869.184</v>
      </c>
      <c r="EE25" s="893">
        <v>0.125</v>
      </c>
      <c r="EF25" s="973">
        <f>ED25*EE25</f>
        <v>2147483.648</v>
      </c>
      <c r="EG25" s="305">
        <f>CZ58</f>
        <v>5301072318.4423809</v>
      </c>
      <c r="EH25" s="910">
        <f t="shared" ref="EH25:EH35" si="9">DX25*DZ25</f>
        <v>0</v>
      </c>
      <c r="EI25" s="981">
        <f t="shared" ref="EI25:EI55" si="10">EI24+1</f>
        <v>2018</v>
      </c>
    </row>
    <row r="26" spans="1:141"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7"/>
      <c r="BU26" s="452" t="s">
        <v>733</v>
      </c>
      <c r="BV26" s="122"/>
      <c r="BW26" s="8"/>
      <c r="BX26" s="7"/>
      <c r="BY26" s="452" t="s">
        <v>733</v>
      </c>
      <c r="BZ26" s="122"/>
      <c r="CA26" s="8"/>
      <c r="CB26" s="7"/>
      <c r="CC26" s="452" t="s">
        <v>733</v>
      </c>
      <c r="CD26" s="122"/>
      <c r="CE26" s="8"/>
      <c r="CF26" s="7"/>
      <c r="CG26" s="452" t="s">
        <v>733</v>
      </c>
      <c r="CH26" s="122"/>
      <c r="CI26" s="8"/>
      <c r="CJ26" s="7"/>
      <c r="CK26" s="452" t="s">
        <v>733</v>
      </c>
      <c r="CL26" s="122"/>
      <c r="CM26" s="8"/>
      <c r="CN26" s="7"/>
      <c r="CO26" s="452" t="s">
        <v>733</v>
      </c>
      <c r="CP26" s="122"/>
      <c r="CQ26" s="8"/>
      <c r="CR26" s="7"/>
      <c r="CS26" s="452" t="s">
        <v>733</v>
      </c>
      <c r="CT26" s="122"/>
      <c r="CU26" s="8"/>
      <c r="CV26" s="7"/>
      <c r="CW26" s="452" t="s">
        <v>733</v>
      </c>
      <c r="CX26" s="122"/>
      <c r="CY26" s="8"/>
      <c r="CZ26" s="126"/>
      <c r="DB26" s="122"/>
      <c r="DC26" s="452" t="s">
        <v>733</v>
      </c>
      <c r="DD26" s="623"/>
      <c r="DE26" s="623"/>
      <c r="DF26" s="628"/>
      <c r="DI26" s="473"/>
      <c r="DN26" s="982" t="s">
        <v>989</v>
      </c>
      <c r="DO26" s="983">
        <f t="shared" si="2"/>
        <v>2019</v>
      </c>
      <c r="DP26" s="910">
        <f t="shared" si="3"/>
        <v>81352133235984.375</v>
      </c>
      <c r="DQ26" s="985">
        <f t="shared" si="4"/>
        <v>2.5000000000000001E-2</v>
      </c>
      <c r="DR26" s="910">
        <f t="shared" si="5"/>
        <v>2033803330899.6094</v>
      </c>
      <c r="DT26" s="75"/>
      <c r="DU26" s="968">
        <f t="shared" si="6"/>
        <v>2019</v>
      </c>
      <c r="DV26" s="305">
        <f>DV20</f>
        <v>10737418.24</v>
      </c>
      <c r="DW26" s="986">
        <v>64</v>
      </c>
      <c r="DX26" s="411">
        <f t="shared" si="0"/>
        <v>687194767.36000001</v>
      </c>
      <c r="DY26" s="980">
        <v>0.2</v>
      </c>
      <c r="DZ26" s="980"/>
      <c r="EA26" s="305">
        <f t="shared" si="1"/>
        <v>137438953.472</v>
      </c>
      <c r="EB26" s="978" t="s">
        <v>1144</v>
      </c>
      <c r="EC26" s="305">
        <f t="shared" si="7"/>
        <v>137438953.472</v>
      </c>
      <c r="ED26" s="691">
        <f t="shared" si="8"/>
        <v>154618822.65600002</v>
      </c>
      <c r="EE26" s="893">
        <f>EE25</f>
        <v>0.125</v>
      </c>
      <c r="EF26" s="973">
        <f t="shared" ref="EF26:EF55" si="11">ED26*EE26</f>
        <v>19327352.832000002</v>
      </c>
      <c r="EG26" s="305">
        <f>EG25</f>
        <v>5301072318.4423809</v>
      </c>
      <c r="EH26" s="910">
        <f t="shared" si="9"/>
        <v>0</v>
      </c>
      <c r="EI26" s="981">
        <f t="shared" si="10"/>
        <v>2019</v>
      </c>
    </row>
    <row r="27" spans="1:141" ht="19.2" thickBot="1" x14ac:dyDescent="0.5">
      <c r="C27" s="122"/>
      <c r="D27" s="574" t="s">
        <v>1369</v>
      </c>
      <c r="E27" s="7"/>
      <c r="F27" s="1096">
        <v>0.25</v>
      </c>
      <c r="G27" s="446">
        <f>E21*F27</f>
        <v>974386388.93626606</v>
      </c>
      <c r="H27" s="447">
        <v>0.25</v>
      </c>
      <c r="I27" s="446">
        <f>G27*H27</f>
        <v>243596597.23406652</v>
      </c>
      <c r="J27" s="447">
        <v>1</v>
      </c>
      <c r="K27" s="439">
        <f>I27*J27</f>
        <v>243596597.23406652</v>
      </c>
      <c r="L27" s="438">
        <f>H27</f>
        <v>0.25</v>
      </c>
      <c r="M27" s="439">
        <f>K27*L27</f>
        <v>60899149.308516629</v>
      </c>
      <c r="N27" s="438">
        <f>J27</f>
        <v>1</v>
      </c>
      <c r="O27" s="439">
        <f>M27*N27</f>
        <v>60899149.308516629</v>
      </c>
      <c r="P27" s="438">
        <f>L27</f>
        <v>0.25</v>
      </c>
      <c r="Q27" s="439">
        <f>O27*P27</f>
        <v>15224787.327129157</v>
      </c>
      <c r="R27" s="438">
        <f>N27</f>
        <v>1</v>
      </c>
      <c r="S27" s="439">
        <f>Q27*R27</f>
        <v>15224787.327129157</v>
      </c>
      <c r="T27" s="438">
        <f>P27</f>
        <v>0.25</v>
      </c>
      <c r="U27" s="439">
        <f>S27*T27</f>
        <v>3806196.8317822893</v>
      </c>
      <c r="V27" s="438">
        <f>R27</f>
        <v>1</v>
      </c>
      <c r="W27" s="439">
        <f>U27*V27</f>
        <v>3806196.8317822893</v>
      </c>
      <c r="X27" s="438">
        <f>T27</f>
        <v>0.25</v>
      </c>
      <c r="Y27" s="439">
        <f>W27*X27</f>
        <v>951549.20794557233</v>
      </c>
      <c r="Z27" s="438">
        <f>V27</f>
        <v>1</v>
      </c>
      <c r="AA27" s="439">
        <f>Y27*Z27</f>
        <v>951549.20794557233</v>
      </c>
      <c r="AB27" s="438">
        <f>X27</f>
        <v>0.25</v>
      </c>
      <c r="AC27" s="439">
        <f>AA27*AB27</f>
        <v>237887.30198639308</v>
      </c>
      <c r="AD27" s="438">
        <f>Z27</f>
        <v>1</v>
      </c>
      <c r="AE27" s="439">
        <f>AC27*AD27</f>
        <v>237887.30198639308</v>
      </c>
      <c r="AF27" s="438">
        <f>AB27</f>
        <v>0.25</v>
      </c>
      <c r="AG27" s="439">
        <f>AE27*AF27</f>
        <v>59471.825496598271</v>
      </c>
      <c r="AH27" s="438">
        <f>AD27</f>
        <v>1</v>
      </c>
      <c r="AI27" s="439">
        <f>AG27*AH27</f>
        <v>59471.825496598271</v>
      </c>
      <c r="AJ27" s="438">
        <f>AF27</f>
        <v>0.25</v>
      </c>
      <c r="AK27" s="439">
        <f>AI27*AJ27</f>
        <v>14867.956374149568</v>
      </c>
      <c r="AL27" s="438">
        <f>AH27</f>
        <v>1</v>
      </c>
      <c r="AM27" s="439">
        <f>AK27*AL27</f>
        <v>14867.956374149568</v>
      </c>
      <c r="AN27" s="438">
        <f>AJ27</f>
        <v>0.25</v>
      </c>
      <c r="AO27" s="439">
        <f>AM27*AN27</f>
        <v>3716.9890935373919</v>
      </c>
      <c r="AP27" s="438">
        <f>AL27</f>
        <v>1</v>
      </c>
      <c r="AQ27" s="439">
        <f>AO27*AP27</f>
        <v>3716.9890935373919</v>
      </c>
      <c r="AR27" s="438">
        <f>AN27</f>
        <v>0.25</v>
      </c>
      <c r="AS27" s="439">
        <f>AQ27*AR27</f>
        <v>929.24727338434798</v>
      </c>
      <c r="AT27" s="438">
        <f>AP27</f>
        <v>1</v>
      </c>
      <c r="AU27" s="439">
        <f>AS27*AT27</f>
        <v>929.24727338434798</v>
      </c>
      <c r="AV27" s="438">
        <f>AR27</f>
        <v>0.25</v>
      </c>
      <c r="AW27" s="439">
        <f>AU27*AV27</f>
        <v>232.31181834608699</v>
      </c>
      <c r="AX27" s="438">
        <f>AT27</f>
        <v>1</v>
      </c>
      <c r="AY27" s="439">
        <f>AW27*AX27</f>
        <v>232.31181834608699</v>
      </c>
      <c r="AZ27" s="438">
        <f>AV27</f>
        <v>0.25</v>
      </c>
      <c r="BA27" s="439">
        <f>AY27*AZ27</f>
        <v>58.077954586521749</v>
      </c>
      <c r="BB27" s="438">
        <f>AX27</f>
        <v>1</v>
      </c>
      <c r="BC27" s="439">
        <f>BA27*BB27</f>
        <v>58.077954586521749</v>
      </c>
      <c r="BD27" s="438">
        <f>AR27</f>
        <v>0.25</v>
      </c>
      <c r="BE27" s="439">
        <f>BC27*BD27</f>
        <v>14.519488646630437</v>
      </c>
      <c r="BF27" s="438">
        <f>AT27</f>
        <v>1</v>
      </c>
      <c r="BG27" s="439">
        <f>BE27*BF27</f>
        <v>14.519488646630437</v>
      </c>
      <c r="BH27" s="438">
        <f>BD27</f>
        <v>0.25</v>
      </c>
      <c r="BI27" s="439">
        <f>BG27*BH27</f>
        <v>3.6298721616576093</v>
      </c>
      <c r="BJ27" s="438">
        <f>BF27</f>
        <v>1</v>
      </c>
      <c r="BK27" s="439">
        <f>BI27*BJ27</f>
        <v>3.6298721616576093</v>
      </c>
      <c r="BL27" s="438">
        <f>BH27</f>
        <v>0.25</v>
      </c>
      <c r="BM27" s="439">
        <f>BK27*BL27</f>
        <v>0.90746804041440232</v>
      </c>
      <c r="BN27" s="438">
        <f>BJ27</f>
        <v>1</v>
      </c>
      <c r="BO27" s="439">
        <f>BM27*BN27</f>
        <v>0.90746804041440232</v>
      </c>
      <c r="BP27" s="438">
        <f>BL27</f>
        <v>0.25</v>
      </c>
      <c r="BQ27" s="439">
        <f>BO27*BP27</f>
        <v>0.22686701010360058</v>
      </c>
      <c r="BR27" s="438">
        <f>BN27</f>
        <v>1</v>
      </c>
      <c r="BS27" s="439">
        <f>BQ27*BR27</f>
        <v>0.22686701010360058</v>
      </c>
      <c r="BT27" s="438">
        <f>BP27</f>
        <v>0.25</v>
      </c>
      <c r="BU27" s="439">
        <f>BS27*BT27</f>
        <v>5.6716752525900145E-2</v>
      </c>
      <c r="BV27" s="438">
        <f>BR27</f>
        <v>1</v>
      </c>
      <c r="BW27" s="439">
        <f>BU27*BV27</f>
        <v>5.6716752525900145E-2</v>
      </c>
      <c r="BX27" s="438">
        <f>BT27</f>
        <v>0.25</v>
      </c>
      <c r="BY27" s="439">
        <f>BW27*BX27</f>
        <v>1.4179188131475036E-2</v>
      </c>
      <c r="BZ27" s="438">
        <f>BV27</f>
        <v>1</v>
      </c>
      <c r="CA27" s="439">
        <f>BY27*BZ27</f>
        <v>1.4179188131475036E-2</v>
      </c>
      <c r="CB27" s="438">
        <f>BX27</f>
        <v>0.25</v>
      </c>
      <c r="CC27" s="439">
        <f>CA27*CB27</f>
        <v>3.5447970328687591E-3</v>
      </c>
      <c r="CD27" s="438">
        <f>BZ27</f>
        <v>1</v>
      </c>
      <c r="CE27" s="439">
        <f>CC27*CD27</f>
        <v>3.5447970328687591E-3</v>
      </c>
      <c r="CF27" s="438">
        <f>CB27</f>
        <v>0.25</v>
      </c>
      <c r="CG27" s="439">
        <f>CE27*CF27</f>
        <v>8.8619925821718977E-4</v>
      </c>
      <c r="CH27" s="438">
        <f>CD27</f>
        <v>1</v>
      </c>
      <c r="CI27" s="439">
        <f>CG27*CH27</f>
        <v>8.8619925821718977E-4</v>
      </c>
      <c r="CJ27" s="438">
        <f>BX27</f>
        <v>0.25</v>
      </c>
      <c r="CK27" s="439">
        <f>CI27*CJ27</f>
        <v>2.2154981455429744E-4</v>
      </c>
      <c r="CL27" s="438">
        <f>BZ27</f>
        <v>1</v>
      </c>
      <c r="CM27" s="439">
        <f>CK27*CL27</f>
        <v>2.2154981455429744E-4</v>
      </c>
      <c r="CN27" s="438">
        <f>CJ27</f>
        <v>0.25</v>
      </c>
      <c r="CO27" s="439">
        <f>CM27*CN27</f>
        <v>5.538745363857436E-5</v>
      </c>
      <c r="CP27" s="438">
        <f>CL27</f>
        <v>1</v>
      </c>
      <c r="CQ27" s="439">
        <f>CO27*CP27</f>
        <v>5.538745363857436E-5</v>
      </c>
      <c r="CR27" s="438">
        <f>AB27</f>
        <v>0.25</v>
      </c>
      <c r="CS27" s="439">
        <f>CQ27*CR27</f>
        <v>1.384686340964359E-5</v>
      </c>
      <c r="CT27" s="438">
        <f>AD27</f>
        <v>1</v>
      </c>
      <c r="CU27" s="439">
        <f>CS27*CT27</f>
        <v>1.384686340964359E-5</v>
      </c>
      <c r="CV27" s="438">
        <f>CR27</f>
        <v>0.25</v>
      </c>
      <c r="CW27" s="439">
        <f>CU27*CV27</f>
        <v>3.4617158524108975E-6</v>
      </c>
      <c r="CX27" s="438">
        <f>CT27</f>
        <v>1</v>
      </c>
      <c r="CY27" s="439">
        <f>CW27*CX27</f>
        <v>3.4617158524108975E-6</v>
      </c>
      <c r="CZ27" s="719">
        <f>G27+I27+M27+Q27+U27+Y27+AC27+AG27+AK27+AO27+AS27+AW27+BA27+BE27+BI27+BM27+BQ27+BU27+BY27+CC27+CG27+CK27+CO27+CS27+CW27</f>
        <v>1299181851.9150205</v>
      </c>
      <c r="DB27" s="597">
        <f>CV27</f>
        <v>0.25</v>
      </c>
      <c r="DC27" s="439">
        <f>CY27*DB27</f>
        <v>8.6542896310272438E-7</v>
      </c>
      <c r="DD27" s="623"/>
      <c r="DE27" s="624"/>
      <c r="DF27" s="628"/>
      <c r="DI27" s="473"/>
      <c r="DN27" s="982" t="s">
        <v>989</v>
      </c>
      <c r="DO27" s="983">
        <f t="shared" si="2"/>
        <v>2020</v>
      </c>
      <c r="DP27" s="910">
        <f t="shared" si="3"/>
        <v>83385936566883.984</v>
      </c>
      <c r="DQ27" s="985">
        <f t="shared" si="4"/>
        <v>2.5000000000000001E-2</v>
      </c>
      <c r="DR27" s="910">
        <f t="shared" si="5"/>
        <v>2084648414172.0996</v>
      </c>
      <c r="DS27" s="895" t="s">
        <v>1283</v>
      </c>
      <c r="DT27" s="75"/>
      <c r="DU27" s="968">
        <f t="shared" si="6"/>
        <v>2020</v>
      </c>
      <c r="DV27" s="305">
        <f>DV20</f>
        <v>10737418.24</v>
      </c>
      <c r="DW27" s="986">
        <v>64</v>
      </c>
      <c r="DX27" s="411">
        <f t="shared" si="0"/>
        <v>687194767.36000001</v>
      </c>
      <c r="DY27" s="980">
        <v>1.5</v>
      </c>
      <c r="DZ27" s="980"/>
      <c r="EA27" s="305">
        <f t="shared" si="1"/>
        <v>1030792151.04</v>
      </c>
      <c r="EB27" s="978" t="s">
        <v>1144</v>
      </c>
      <c r="EC27" s="305">
        <f t="shared" si="7"/>
        <v>1030792151.04</v>
      </c>
      <c r="ED27" s="691">
        <f t="shared" si="8"/>
        <v>1185410973.6960001</v>
      </c>
      <c r="EE27" s="893">
        <f t="shared" ref="EE27:EE31" si="12">EE26</f>
        <v>0.125</v>
      </c>
      <c r="EF27" s="973">
        <f t="shared" si="11"/>
        <v>148176371.71200001</v>
      </c>
      <c r="EG27" s="305">
        <f t="shared" ref="EG27:EG55" si="13">EG26</f>
        <v>5301072318.4423809</v>
      </c>
      <c r="EH27" s="910">
        <f t="shared" si="9"/>
        <v>0</v>
      </c>
      <c r="EI27" s="981">
        <f t="shared" si="10"/>
        <v>2020</v>
      </c>
    </row>
    <row r="28" spans="1:141"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142"/>
      <c r="BQ28" s="434"/>
      <c r="BR28" s="142"/>
      <c r="BS28" s="434"/>
      <c r="BT28" s="142"/>
      <c r="BU28" s="434"/>
      <c r="BV28" s="142"/>
      <c r="BW28" s="434"/>
      <c r="BX28" s="142"/>
      <c r="BY28" s="434"/>
      <c r="BZ28" s="142"/>
      <c r="CA28" s="434"/>
      <c r="CB28" s="142"/>
      <c r="CC28" s="434"/>
      <c r="CD28" s="142"/>
      <c r="CE28" s="434"/>
      <c r="CF28" s="142"/>
      <c r="CG28" s="434"/>
      <c r="CH28" s="142"/>
      <c r="CI28" s="434"/>
      <c r="CJ28" s="142"/>
      <c r="CK28" s="434"/>
      <c r="CL28" s="142"/>
      <c r="CM28" s="434"/>
      <c r="CN28" s="142"/>
      <c r="CO28" s="434"/>
      <c r="CP28" s="142"/>
      <c r="CQ28" s="434"/>
      <c r="CR28" s="142"/>
      <c r="CS28" s="434"/>
      <c r="CT28" s="142"/>
      <c r="CU28" s="434"/>
      <c r="CV28" s="437"/>
      <c r="CW28" s="434"/>
      <c r="CX28" s="142"/>
      <c r="CY28" s="434"/>
      <c r="CZ28" s="180"/>
      <c r="DB28" s="122"/>
      <c r="DC28" s="8"/>
      <c r="DD28" s="623"/>
      <c r="DE28" s="624"/>
      <c r="DF28" s="629">
        <f>DC5</f>
        <v>11942963496.535389</v>
      </c>
      <c r="DI28" s="473"/>
      <c r="DN28" s="982" t="s">
        <v>989</v>
      </c>
      <c r="DO28" s="983">
        <f t="shared" si="2"/>
        <v>2021</v>
      </c>
      <c r="DP28" s="910">
        <f t="shared" si="3"/>
        <v>85470584981056.078</v>
      </c>
      <c r="DQ28" s="985">
        <f t="shared" si="4"/>
        <v>2.5000000000000001E-2</v>
      </c>
      <c r="DR28" s="910">
        <f t="shared" si="5"/>
        <v>2136764624526.4021</v>
      </c>
      <c r="DT28" s="75"/>
      <c r="DU28" s="968">
        <f t="shared" si="6"/>
        <v>2021</v>
      </c>
      <c r="DV28" s="305">
        <f>DV20</f>
        <v>10737418.24</v>
      </c>
      <c r="DW28" s="986">
        <v>64</v>
      </c>
      <c r="DX28" s="411">
        <f t="shared" si="0"/>
        <v>687194767.36000001</v>
      </c>
      <c r="DY28" s="980">
        <v>1.25</v>
      </c>
      <c r="DZ28" s="980"/>
      <c r="EA28" s="305">
        <f t="shared" si="1"/>
        <v>858993459.20000005</v>
      </c>
      <c r="EB28" s="978" t="s">
        <v>1144</v>
      </c>
      <c r="EC28" s="305">
        <f t="shared" si="7"/>
        <v>858993459.20000005</v>
      </c>
      <c r="ED28" s="691">
        <f t="shared" si="8"/>
        <v>2044404432.8960001</v>
      </c>
      <c r="EE28" s="893">
        <f t="shared" si="12"/>
        <v>0.125</v>
      </c>
      <c r="EF28" s="973">
        <f t="shared" si="11"/>
        <v>255550554.11200002</v>
      </c>
      <c r="EG28" s="305">
        <f t="shared" si="13"/>
        <v>5301072318.4423809</v>
      </c>
      <c r="EH28" s="910">
        <f t="shared" si="9"/>
        <v>0</v>
      </c>
      <c r="EI28" s="981">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275513609541.89319</v>
      </c>
      <c r="DB29" s="179"/>
      <c r="DC29" s="161">
        <f>SUM(DC10:DC28)</f>
        <v>10968577107.599123</v>
      </c>
      <c r="DD29" s="691">
        <v>1</v>
      </c>
      <c r="DE29" s="183">
        <f>DC29*DD29</f>
        <v>10968577107.599123</v>
      </c>
      <c r="DF29" s="645">
        <f>DE29+DF28</f>
        <v>22911540604.134514</v>
      </c>
      <c r="DG29" s="253" t="s">
        <v>1383</v>
      </c>
      <c r="DI29" s="473"/>
      <c r="DN29" s="982" t="s">
        <v>989</v>
      </c>
      <c r="DO29" s="983">
        <f>DO28+1</f>
        <v>2022</v>
      </c>
      <c r="DP29" s="910">
        <f>DP28+DR28</f>
        <v>87607349605582.484</v>
      </c>
      <c r="DQ29" s="985">
        <f>DQ28</f>
        <v>2.5000000000000001E-2</v>
      </c>
      <c r="DR29" s="910">
        <f t="shared" si="5"/>
        <v>2190183740139.5623</v>
      </c>
      <c r="DT29" s="75"/>
      <c r="DU29" s="968">
        <f>DU28+1</f>
        <v>2022</v>
      </c>
      <c r="DV29" s="305">
        <f>DV20</f>
        <v>10737418.24</v>
      </c>
      <c r="DW29" s="986">
        <v>64</v>
      </c>
      <c r="DX29" s="411">
        <f t="shared" si="0"/>
        <v>687194767.36000001</v>
      </c>
      <c r="DY29" s="980">
        <v>2</v>
      </c>
      <c r="DZ29" s="980"/>
      <c r="EA29" s="305">
        <f t="shared" si="1"/>
        <v>1374389534.72</v>
      </c>
      <c r="EB29" s="978" t="s">
        <v>1144</v>
      </c>
      <c r="EC29" s="305">
        <f t="shared" si="7"/>
        <v>1374389534.72</v>
      </c>
      <c r="ED29" s="691">
        <f t="shared" si="8"/>
        <v>3418793967.6160002</v>
      </c>
      <c r="EE29" s="893">
        <f t="shared" si="12"/>
        <v>0.125</v>
      </c>
      <c r="EF29" s="973">
        <f t="shared" si="11"/>
        <v>427349245.95200002</v>
      </c>
      <c r="EG29" s="305">
        <f t="shared" si="13"/>
        <v>5301072318.4423809</v>
      </c>
      <c r="EH29" s="910">
        <f t="shared" si="9"/>
        <v>0</v>
      </c>
      <c r="EI29" s="981">
        <f>EI28+1</f>
        <v>2022</v>
      </c>
    </row>
    <row r="30" spans="1:141" x14ac:dyDescent="0.3">
      <c r="C30" s="158"/>
      <c r="D30" s="10"/>
      <c r="E30" s="10"/>
      <c r="F30" s="10"/>
      <c r="G30" s="159">
        <f>SUM(G10:G29)</f>
        <v>11942963496.535389</v>
      </c>
      <c r="H30" s="599"/>
      <c r="I30" s="172">
        <f>SUM(I10:I29)</f>
        <v>11212173704.833189</v>
      </c>
      <c r="J30" s="158"/>
      <c r="K30" s="11"/>
      <c r="L30" s="160"/>
      <c r="M30" s="161">
        <f>SUM(M10:M29)</f>
        <v>11029476256.90764</v>
      </c>
      <c r="N30" s="158"/>
      <c r="O30" s="11"/>
      <c r="P30" s="598"/>
      <c r="Q30" s="172">
        <f>SUM(Q10:Q29)</f>
        <v>10983801894.926252</v>
      </c>
      <c r="R30" s="158"/>
      <c r="S30" s="11"/>
      <c r="T30" s="160"/>
      <c r="U30" s="161">
        <f>SUM(U10:U29)</f>
        <v>10972383304.430904</v>
      </c>
      <c r="V30" s="158"/>
      <c r="W30" s="11"/>
      <c r="X30" s="598"/>
      <c r="Y30" s="172">
        <f>SUM(Y10:Y29)</f>
        <v>10969528656.807068</v>
      </c>
      <c r="Z30" s="158"/>
      <c r="AA30" s="11"/>
      <c r="AB30" s="160"/>
      <c r="AC30" s="161">
        <f>SUM(AC10:AC29)</f>
        <v>10968814994.90111</v>
      </c>
      <c r="AD30" s="158"/>
      <c r="AE30" s="11"/>
      <c r="AF30" s="598"/>
      <c r="AG30" s="172">
        <f>SUM(AG10:AG29)</f>
        <v>10968636579.42462</v>
      </c>
      <c r="AH30" s="158"/>
      <c r="AI30" s="11"/>
      <c r="AJ30" s="598"/>
      <c r="AK30" s="172">
        <f>SUM(AK10:AK29)</f>
        <v>10968591975.555496</v>
      </c>
      <c r="AL30" s="158"/>
      <c r="AM30" s="11"/>
      <c r="AN30" s="598"/>
      <c r="AO30" s="172">
        <f>SUM(AO10:AO29)</f>
        <v>10968580824.588217</v>
      </c>
      <c r="AP30" s="158"/>
      <c r="AQ30" s="11"/>
      <c r="AR30" s="598"/>
      <c r="AS30" s="172">
        <f>SUM(AS10:AS29)</f>
        <v>10968578036.846395</v>
      </c>
      <c r="AT30" s="158"/>
      <c r="AU30" s="11"/>
      <c r="AV30" s="598"/>
      <c r="AW30" s="172">
        <f>SUM(AW10:AW29)</f>
        <v>10968577339.910942</v>
      </c>
      <c r="AX30" s="158"/>
      <c r="AY30" s="11"/>
      <c r="AZ30" s="598"/>
      <c r="BA30" s="172">
        <f>SUM(BA10:BA29)</f>
        <v>10968577165.677078</v>
      </c>
      <c r="BB30" s="158"/>
      <c r="BC30" s="11"/>
      <c r="BD30" s="598"/>
      <c r="BE30" s="172">
        <f>SUM(BE10:BE29)</f>
        <v>10968577122.118612</v>
      </c>
      <c r="BF30" s="158"/>
      <c r="BG30" s="11"/>
      <c r="BH30" s="598"/>
      <c r="BI30" s="172">
        <f>SUM(BI10:BI29)</f>
        <v>10968577111.228994</v>
      </c>
      <c r="BJ30" s="158"/>
      <c r="BK30" s="11"/>
      <c r="BL30" s="598"/>
      <c r="BM30" s="172">
        <f>SUM(BM10:BM29)</f>
        <v>10968577108.506592</v>
      </c>
      <c r="BN30" s="158"/>
      <c r="BO30" s="11"/>
      <c r="BP30" s="598"/>
      <c r="BQ30" s="172">
        <f>SUM(BQ10:BQ29)</f>
        <v>10968577107.825991</v>
      </c>
      <c r="BR30" s="158"/>
      <c r="BS30" s="11"/>
      <c r="BT30" s="598"/>
      <c r="BU30" s="172">
        <f>SUM(BU10:BU29)</f>
        <v>10968577107.65584</v>
      </c>
      <c r="BV30" s="158"/>
      <c r="BW30" s="11"/>
      <c r="BX30" s="598"/>
      <c r="BY30" s="172">
        <f>SUM(BY10:BY29)</f>
        <v>10968577107.613302</v>
      </c>
      <c r="BZ30" s="158"/>
      <c r="CA30" s="11"/>
      <c r="CB30" s="598"/>
      <c r="CC30" s="172">
        <f>SUM(CC10:CC29)</f>
        <v>10968577107.602667</v>
      </c>
      <c r="CD30" s="158"/>
      <c r="CE30" s="11"/>
      <c r="CF30" s="598"/>
      <c r="CG30" s="172">
        <f>SUM(CG10:CG29)</f>
        <v>10968577107.60001</v>
      </c>
      <c r="CH30" s="158"/>
      <c r="CI30" s="11"/>
      <c r="CJ30" s="598"/>
      <c r="CK30" s="172">
        <f>SUM(CK10:CK29)</f>
        <v>10968577107.599344</v>
      </c>
      <c r="CL30" s="158"/>
      <c r="CM30" s="11"/>
      <c r="CN30" s="598"/>
      <c r="CO30" s="172">
        <f>SUM(CO10:CO29)</f>
        <v>10968577107.599178</v>
      </c>
      <c r="CP30" s="158"/>
      <c r="CQ30" s="11"/>
      <c r="CR30" s="598"/>
      <c r="CS30" s="172">
        <f>SUM(CS10:CS29)</f>
        <v>10968577107.599136</v>
      </c>
      <c r="CT30" s="158"/>
      <c r="CU30" s="11"/>
      <c r="CV30" s="179"/>
      <c r="CW30" s="161">
        <f>SUM(CW10:CW29)</f>
        <v>10968577107.599127</v>
      </c>
      <c r="CX30" s="158"/>
      <c r="CY30" s="11"/>
      <c r="CZ30" s="161">
        <f>G30+I30+M30+Q30+U30+Y30+AC30+CS30+CW30</f>
        <v>100016296524.53981</v>
      </c>
      <c r="DF30" s="253" t="s">
        <v>1383</v>
      </c>
      <c r="DI30" s="473"/>
      <c r="DN30" s="982" t="s">
        <v>989</v>
      </c>
      <c r="DO30" s="983">
        <f>DO29+1</f>
        <v>2023</v>
      </c>
      <c r="DP30" s="910">
        <f>DP29+DR29</f>
        <v>89797533345722.047</v>
      </c>
      <c r="DQ30" s="985">
        <f>DQ29</f>
        <v>2.5000000000000001E-2</v>
      </c>
      <c r="DR30" s="910">
        <f t="shared" si="5"/>
        <v>2244938333643.0513</v>
      </c>
      <c r="DT30" s="75"/>
      <c r="DU30" s="968">
        <f>DU29+1</f>
        <v>2023</v>
      </c>
      <c r="DV30" s="305">
        <f>DV20</f>
        <v>10737418.24</v>
      </c>
      <c r="DW30" s="986">
        <v>64</v>
      </c>
      <c r="DX30" s="411">
        <f t="shared" si="0"/>
        <v>687194767.36000001</v>
      </c>
      <c r="DY30" s="980">
        <v>3</v>
      </c>
      <c r="DZ30" s="980"/>
      <c r="EA30" s="305">
        <f t="shared" si="1"/>
        <v>2061584302.0799999</v>
      </c>
      <c r="EB30" s="978" t="s">
        <v>1144</v>
      </c>
      <c r="EC30" s="305">
        <f t="shared" si="7"/>
        <v>2061584302.0799999</v>
      </c>
      <c r="ED30" s="691">
        <f t="shared" si="8"/>
        <v>5480378269.6960001</v>
      </c>
      <c r="EE30" s="893">
        <f t="shared" si="12"/>
        <v>0.125</v>
      </c>
      <c r="EF30" s="973">
        <f t="shared" si="11"/>
        <v>685047283.71200001</v>
      </c>
      <c r="EG30" s="305">
        <f t="shared" si="13"/>
        <v>5301072318.4423809</v>
      </c>
      <c r="EH30" s="910">
        <f t="shared" si="9"/>
        <v>0</v>
      </c>
      <c r="EI30" s="981">
        <f>EI29+1</f>
        <v>2023</v>
      </c>
    </row>
    <row r="31" spans="1:141" x14ac:dyDescent="0.3">
      <c r="I31" s="30"/>
      <c r="Q31" s="30"/>
      <c r="Y31" s="30"/>
      <c r="CZ31" s="999" t="s">
        <v>1355</v>
      </c>
      <c r="DB31" s="77" t="s">
        <v>1382</v>
      </c>
      <c r="DC31" s="567">
        <f>CZ34</f>
        <v>24.034557968875099</v>
      </c>
      <c r="DD31" s="76"/>
      <c r="DE31" s="76" t="s">
        <v>957</v>
      </c>
      <c r="DI31" s="473"/>
      <c r="DN31" s="982" t="s">
        <v>989</v>
      </c>
      <c r="DO31" s="983">
        <f t="shared" si="2"/>
        <v>2024</v>
      </c>
      <c r="DP31" s="910">
        <f t="shared" si="3"/>
        <v>92042471679365.094</v>
      </c>
      <c r="DQ31" s="985">
        <f t="shared" si="4"/>
        <v>2.5000000000000001E-2</v>
      </c>
      <c r="DR31" s="910">
        <f t="shared" si="5"/>
        <v>2301061791984.1274</v>
      </c>
      <c r="DS31" s="895" t="s">
        <v>1282</v>
      </c>
      <c r="DT31" s="75"/>
      <c r="DU31" s="968">
        <f t="shared" si="6"/>
        <v>2024</v>
      </c>
      <c r="DV31" s="305">
        <f>DV20</f>
        <v>10737418.24</v>
      </c>
      <c r="DW31" s="986">
        <v>64</v>
      </c>
      <c r="DX31" s="411">
        <f t="shared" si="0"/>
        <v>687194767.36000001</v>
      </c>
      <c r="DY31" s="980">
        <v>8</v>
      </c>
      <c r="DZ31" s="980"/>
      <c r="EA31" s="305">
        <f t="shared" si="1"/>
        <v>5497558138.8800001</v>
      </c>
      <c r="EB31" s="978" t="s">
        <v>1144</v>
      </c>
      <c r="EC31" s="305">
        <f t="shared" si="7"/>
        <v>5497558138.8800001</v>
      </c>
      <c r="ED31" s="691">
        <f t="shared" si="8"/>
        <v>10977936408.576</v>
      </c>
      <c r="EE31" s="893">
        <f t="shared" si="12"/>
        <v>0.125</v>
      </c>
      <c r="EF31" s="995">
        <f t="shared" si="11"/>
        <v>1372242051.072</v>
      </c>
      <c r="EG31" s="305">
        <f t="shared" si="13"/>
        <v>5301072318.4423809</v>
      </c>
      <c r="EH31" s="910">
        <f t="shared" si="9"/>
        <v>0</v>
      </c>
      <c r="EI31" s="981">
        <f t="shared" si="10"/>
        <v>2024</v>
      </c>
      <c r="EJ31" s="1000">
        <v>0.125</v>
      </c>
      <c r="EK31" s="1001">
        <f>EF31*EE31</f>
        <v>171530256.384</v>
      </c>
    </row>
    <row r="32" spans="1:141" x14ac:dyDescent="0.3">
      <c r="A32" s="690"/>
      <c r="B32" s="690"/>
      <c r="I32" s="690"/>
      <c r="CY32" s="1150" t="s">
        <v>306</v>
      </c>
      <c r="CZ32" s="182">
        <f>E8</f>
        <v>23885926993.070778</v>
      </c>
      <c r="DB32" s="736">
        <f>CZ47</f>
        <v>23885926993.070778</v>
      </c>
      <c r="DC32" s="568">
        <f>DB32*CZ34</f>
        <v>574087696955.27808</v>
      </c>
      <c r="DD32" s="208">
        <f>DA49</f>
        <v>0.66163000000000005</v>
      </c>
      <c r="DE32" s="691">
        <f>DC32*DD32</f>
        <v>379833642936.52069</v>
      </c>
      <c r="DI32" s="473"/>
      <c r="DN32" s="332" t="s">
        <v>989</v>
      </c>
      <c r="DO32" s="953">
        <f>DO31+1</f>
        <v>2025</v>
      </c>
      <c r="DP32" s="691">
        <f>DP31+DR31</f>
        <v>94343533471349.219</v>
      </c>
      <c r="DQ32" s="894">
        <f>DQ31</f>
        <v>2.5000000000000001E-2</v>
      </c>
      <c r="DR32" s="691">
        <f t="shared" si="5"/>
        <v>2358588336783.7305</v>
      </c>
      <c r="DT32" s="332" t="s">
        <v>963</v>
      </c>
      <c r="DU32" s="953">
        <f>DU31+1</f>
        <v>2025</v>
      </c>
      <c r="DV32" s="691">
        <f>DV20</f>
        <v>10737418.24</v>
      </c>
      <c r="DW32" s="987">
        <v>64</v>
      </c>
      <c r="DX32" s="875">
        <f t="shared" si="0"/>
        <v>687194767.36000001</v>
      </c>
      <c r="DY32" s="977"/>
      <c r="DZ32" s="977"/>
      <c r="EA32" s="691">
        <f t="shared" si="1"/>
        <v>0</v>
      </c>
      <c r="EC32" s="691">
        <f t="shared" si="7"/>
        <v>0</v>
      </c>
      <c r="ED32" s="691">
        <f t="shared" si="8"/>
        <v>10977936408.576</v>
      </c>
      <c r="EE32" s="894">
        <f>EE31</f>
        <v>0.125</v>
      </c>
      <c r="EF32" s="975">
        <f t="shared" si="11"/>
        <v>1372242051.072</v>
      </c>
      <c r="EG32" s="691">
        <f t="shared" si="13"/>
        <v>5301072318.4423809</v>
      </c>
      <c r="EH32" s="183">
        <f t="shared" si="9"/>
        <v>0</v>
      </c>
      <c r="EI32" s="949">
        <f>EI31+1</f>
        <v>2025</v>
      </c>
    </row>
    <row r="33" spans="1:139" x14ac:dyDescent="0.3">
      <c r="I33" s="690"/>
      <c r="J33" s="18"/>
      <c r="K33" s="690"/>
      <c r="CY33" s="122" t="s">
        <v>307</v>
      </c>
      <c r="CZ33" s="183">
        <f>CZ29+CZ5</f>
        <v>574087696955.27808</v>
      </c>
      <c r="DC33" s="248"/>
      <c r="DE33" s="181"/>
      <c r="DI33" s="473"/>
      <c r="DN33" s="332" t="s">
        <v>989</v>
      </c>
      <c r="DO33" s="953">
        <f t="shared" si="2"/>
        <v>2026</v>
      </c>
      <c r="DP33" s="691">
        <f t="shared" si="3"/>
        <v>96702121808132.953</v>
      </c>
      <c r="DQ33" s="894">
        <f t="shared" si="4"/>
        <v>2.5000000000000001E-2</v>
      </c>
      <c r="DR33" s="691">
        <f t="shared" si="5"/>
        <v>2417553045203.3237</v>
      </c>
      <c r="DT33" s="332"/>
      <c r="DU33" s="953">
        <f t="shared" si="6"/>
        <v>2026</v>
      </c>
      <c r="DV33" s="691">
        <f>DV20</f>
        <v>10737418.24</v>
      </c>
      <c r="DW33" s="987">
        <v>64</v>
      </c>
      <c r="DX33" s="875">
        <f t="shared" si="0"/>
        <v>687194767.36000001</v>
      </c>
      <c r="DY33" s="977"/>
      <c r="DZ33" s="977"/>
      <c r="EA33" s="691">
        <f t="shared" si="1"/>
        <v>0</v>
      </c>
      <c r="EC33" s="691">
        <f t="shared" si="7"/>
        <v>0</v>
      </c>
      <c r="ED33" s="691">
        <f t="shared" si="8"/>
        <v>10977936408.576</v>
      </c>
      <c r="EE33" s="894">
        <f>EE32</f>
        <v>0.125</v>
      </c>
      <c r="EF33" s="975">
        <f t="shared" si="11"/>
        <v>1372242051.072</v>
      </c>
      <c r="EG33" s="691">
        <f t="shared" si="13"/>
        <v>5301072318.4423809</v>
      </c>
      <c r="EH33" s="183">
        <f t="shared" si="9"/>
        <v>0</v>
      </c>
      <c r="EI33" s="949">
        <f t="shared" si="10"/>
        <v>2026</v>
      </c>
    </row>
    <row r="34" spans="1:139" x14ac:dyDescent="0.3">
      <c r="A34" s="690"/>
      <c r="B34" s="690"/>
      <c r="C34" s="900" t="s">
        <v>1036</v>
      </c>
      <c r="D34" s="901" t="s">
        <v>1287</v>
      </c>
      <c r="E34" s="4"/>
      <c r="F34" s="4"/>
      <c r="G34" s="5"/>
      <c r="CY34" s="1150" t="s">
        <v>310</v>
      </c>
      <c r="CZ34" s="184">
        <f>CZ33/CZ32</f>
        <v>24.034557968875099</v>
      </c>
      <c r="DA34" s="239"/>
      <c r="DB34" s="239" t="s">
        <v>974</v>
      </c>
      <c r="DC34" s="248" t="s">
        <v>1384</v>
      </c>
      <c r="DD34" s="239"/>
      <c r="DE34" s="181"/>
      <c r="DI34" s="473"/>
      <c r="DN34" s="332" t="s">
        <v>989</v>
      </c>
      <c r="DO34" s="953">
        <f t="shared" si="2"/>
        <v>2027</v>
      </c>
      <c r="DP34" s="691">
        <f t="shared" si="3"/>
        <v>99119674853336.281</v>
      </c>
      <c r="DQ34" s="894">
        <f t="shared" si="4"/>
        <v>2.5000000000000001E-2</v>
      </c>
      <c r="DR34" s="691">
        <f t="shared" si="5"/>
        <v>2477991871333.4072</v>
      </c>
      <c r="DT34" s="76"/>
      <c r="DU34" s="953">
        <f t="shared" si="6"/>
        <v>2027</v>
      </c>
      <c r="DV34" s="691">
        <f>DV20</f>
        <v>10737418.24</v>
      </c>
      <c r="DW34" s="987">
        <v>64</v>
      </c>
      <c r="DX34" s="875">
        <f t="shared" si="0"/>
        <v>687194767.36000001</v>
      </c>
      <c r="DY34" s="977"/>
      <c r="DZ34" s="977"/>
      <c r="EA34" s="691">
        <f t="shared" si="1"/>
        <v>0</v>
      </c>
      <c r="EC34" s="691">
        <f t="shared" si="7"/>
        <v>0</v>
      </c>
      <c r="ED34" s="691">
        <f t="shared" si="8"/>
        <v>10977936408.576</v>
      </c>
      <c r="EE34" s="894">
        <f t="shared" ref="EE34:EE55" si="14">EE33</f>
        <v>0.125</v>
      </c>
      <c r="EF34" s="975">
        <f t="shared" si="11"/>
        <v>1372242051.072</v>
      </c>
      <c r="EG34" s="691">
        <f t="shared" si="13"/>
        <v>5301072318.4423809</v>
      </c>
      <c r="EH34" s="183">
        <f t="shared" si="9"/>
        <v>0</v>
      </c>
      <c r="EI34" s="949">
        <f t="shared" si="10"/>
        <v>2027</v>
      </c>
    </row>
    <row r="35" spans="1:139" x14ac:dyDescent="0.3">
      <c r="A35" s="690"/>
      <c r="B35" s="690"/>
      <c r="C35" s="122" t="s">
        <v>732</v>
      </c>
      <c r="D35" s="287" t="s">
        <v>1288</v>
      </c>
      <c r="E35" s="7" t="s">
        <v>1289</v>
      </c>
      <c r="F35" s="7"/>
      <c r="G35" s="8"/>
      <c r="CX35" s="38"/>
      <c r="CY35" s="1150" t="s">
        <v>785</v>
      </c>
      <c r="CZ35" s="472"/>
      <c r="DA35" s="473"/>
      <c r="DB35" s="472"/>
      <c r="DC35" s="472">
        <f>DB35-CZ35</f>
        <v>0</v>
      </c>
      <c r="DD35" s="473"/>
      <c r="DE35" s="563"/>
      <c r="DF35" s="473"/>
      <c r="DG35" s="473"/>
      <c r="DH35" s="473"/>
      <c r="DI35" s="473"/>
      <c r="DJ35" s="88"/>
      <c r="DK35" s="88"/>
      <c r="DL35" s="88"/>
      <c r="DM35" s="88"/>
      <c r="DN35" s="332" t="s">
        <v>989</v>
      </c>
      <c r="DO35" s="953">
        <f t="shared" si="2"/>
        <v>2028</v>
      </c>
      <c r="DP35" s="691">
        <f t="shared" si="3"/>
        <v>101597666724669.69</v>
      </c>
      <c r="DQ35" s="894">
        <f t="shared" si="4"/>
        <v>2.5000000000000001E-2</v>
      </c>
      <c r="DR35" s="691">
        <f t="shared" si="5"/>
        <v>2539941668116.7422</v>
      </c>
      <c r="DT35" s="76"/>
      <c r="DU35" s="953">
        <f t="shared" si="6"/>
        <v>2028</v>
      </c>
      <c r="DV35" s="691">
        <f>DV20</f>
        <v>10737418.24</v>
      </c>
      <c r="DW35" s="987">
        <v>64</v>
      </c>
      <c r="DX35" s="875">
        <f t="shared" si="0"/>
        <v>687194767.36000001</v>
      </c>
      <c r="DY35" s="977"/>
      <c r="DZ35" s="977"/>
      <c r="EA35" s="691">
        <f t="shared" si="1"/>
        <v>0</v>
      </c>
      <c r="EC35" s="691">
        <f t="shared" si="7"/>
        <v>0</v>
      </c>
      <c r="ED35" s="691">
        <f t="shared" si="8"/>
        <v>10977936408.576</v>
      </c>
      <c r="EE35" s="894">
        <f t="shared" si="14"/>
        <v>0.125</v>
      </c>
      <c r="EF35" s="975">
        <f t="shared" si="11"/>
        <v>1372242051.072</v>
      </c>
      <c r="EG35" s="691">
        <f t="shared" si="13"/>
        <v>5301072318.4423809</v>
      </c>
      <c r="EH35" s="183">
        <f t="shared" si="9"/>
        <v>0</v>
      </c>
      <c r="EI35" s="949">
        <f t="shared" si="10"/>
        <v>2028</v>
      </c>
    </row>
    <row r="36" spans="1:139" x14ac:dyDescent="0.3">
      <c r="A36" s="690"/>
      <c r="B36" s="690"/>
      <c r="C36" s="1151">
        <v>32</v>
      </c>
      <c r="D36" s="411">
        <f>'POP Dimensions'!J15</f>
        <v>21474836.48</v>
      </c>
      <c r="E36" s="411">
        <f>C36*D36</f>
        <v>687194767.36000001</v>
      </c>
      <c r="F36" s="896"/>
      <c r="G36" s="902" t="s">
        <v>732</v>
      </c>
      <c r="CX36" s="38"/>
      <c r="CY36" s="1206" t="s">
        <v>1445</v>
      </c>
      <c r="CZ36" s="1207">
        <f>'POP Dimensions'!L16*150%</f>
        <v>515396075.51999998</v>
      </c>
      <c r="DA36" s="88"/>
      <c r="DB36" s="511"/>
      <c r="DC36" s="511"/>
      <c r="DD36" s="88"/>
      <c r="DE36" s="181"/>
      <c r="DF36" s="88"/>
      <c r="DG36" s="88"/>
      <c r="DH36" s="616">
        <f>DE47*DJ47</f>
        <v>920424716793.65088</v>
      </c>
      <c r="DI36" s="617" t="s">
        <v>778</v>
      </c>
      <c r="DJ36" s="88"/>
      <c r="DK36" s="88"/>
      <c r="DL36" s="88"/>
      <c r="DM36" s="88"/>
      <c r="DN36" s="332" t="s">
        <v>989</v>
      </c>
      <c r="DO36" s="953">
        <f>DO35+1</f>
        <v>2029</v>
      </c>
      <c r="DP36" s="691">
        <f>DP35+DR35</f>
        <v>104137608392786.44</v>
      </c>
      <c r="DQ36" s="894">
        <f>DQ35</f>
        <v>2.5000000000000001E-2</v>
      </c>
      <c r="DR36" s="691">
        <f>DP36*DQ36</f>
        <v>2603440209819.6611</v>
      </c>
      <c r="DT36" s="76"/>
      <c r="DU36" s="953">
        <f>DU35+1</f>
        <v>2029</v>
      </c>
      <c r="DV36" s="691">
        <f>DV20</f>
        <v>10737418.24</v>
      </c>
      <c r="DW36" s="987">
        <v>64</v>
      </c>
      <c r="DX36" s="875">
        <f>DW36*DV36</f>
        <v>687194767.36000001</v>
      </c>
      <c r="DY36" s="977"/>
      <c r="DZ36" s="977"/>
      <c r="EA36" s="691">
        <f>DX36*DY36</f>
        <v>0</v>
      </c>
      <c r="EC36" s="691">
        <f t="shared" si="7"/>
        <v>0</v>
      </c>
      <c r="ED36" s="691">
        <f>EC36+ED35-EH36</f>
        <v>10977936408.576</v>
      </c>
      <c r="EE36" s="894">
        <f t="shared" si="14"/>
        <v>0.125</v>
      </c>
      <c r="EF36" s="975">
        <f t="shared" si="11"/>
        <v>1372242051.072</v>
      </c>
      <c r="EG36" s="691">
        <f t="shared" si="13"/>
        <v>5301072318.4423809</v>
      </c>
      <c r="EH36" s="183">
        <f>DX36*DZ36</f>
        <v>0</v>
      </c>
      <c r="EI36" s="949">
        <f t="shared" si="10"/>
        <v>2029</v>
      </c>
    </row>
    <row r="37" spans="1:139" x14ac:dyDescent="0.3">
      <c r="A37" s="690"/>
      <c r="B37" s="690"/>
      <c r="C37" s="1152">
        <f>C36*2</f>
        <v>64</v>
      </c>
      <c r="D37" s="897">
        <f>D36</f>
        <v>21474836.48</v>
      </c>
      <c r="E37" s="897">
        <f t="shared" ref="E37:E43" si="15">C37*D37</f>
        <v>1374389534.72</v>
      </c>
      <c r="F37" s="874"/>
      <c r="G37" s="903" t="s">
        <v>732</v>
      </c>
      <c r="CX37" s="38"/>
      <c r="CY37" s="1206" t="s">
        <v>1444</v>
      </c>
      <c r="CZ37" s="1207">
        <f>'POP Dimensions'!H17*150%</f>
        <v>1030792151.04</v>
      </c>
      <c r="DA37" s="88"/>
      <c r="DB37" s="511"/>
      <c r="DC37" s="511"/>
      <c r="DD37" s="88"/>
      <c r="DE37" s="181"/>
      <c r="DF37" s="88"/>
      <c r="DG37" s="88"/>
      <c r="DH37" s="616"/>
      <c r="DI37" s="617"/>
      <c r="DJ37" s="88"/>
      <c r="DK37" s="88"/>
      <c r="DL37" s="88"/>
      <c r="DM37" s="88"/>
      <c r="DN37" s="332" t="s">
        <v>989</v>
      </c>
      <c r="DO37" s="953">
        <f>DO36+1</f>
        <v>2030</v>
      </c>
      <c r="DP37" s="691">
        <f>DP36+DR36</f>
        <v>106741048602606.09</v>
      </c>
      <c r="DQ37" s="894">
        <f>DQ36</f>
        <v>2.5000000000000001E-2</v>
      </c>
      <c r="DR37" s="691">
        <f>DP37*DQ37</f>
        <v>2668526215065.1523</v>
      </c>
      <c r="DT37" s="76"/>
      <c r="DU37" s="953">
        <f>DU36+1</f>
        <v>2030</v>
      </c>
      <c r="DV37" s="691">
        <f>DV20</f>
        <v>10737418.24</v>
      </c>
      <c r="DW37" s="987">
        <v>64</v>
      </c>
      <c r="DX37" s="875">
        <f t="shared" ref="DX37:DX55" si="16">DW37*DV37</f>
        <v>687194767.36000001</v>
      </c>
      <c r="DY37" s="977"/>
      <c r="DZ37" s="977"/>
      <c r="EA37" s="691">
        <f t="shared" ref="EA37:EA55" si="17">DX37*DY37</f>
        <v>0</v>
      </c>
      <c r="EC37" s="691">
        <f t="shared" si="7"/>
        <v>0</v>
      </c>
      <c r="ED37" s="691">
        <f>EC37+ED36-EH37</f>
        <v>10977936408.576</v>
      </c>
      <c r="EE37" s="894">
        <f t="shared" si="14"/>
        <v>0.125</v>
      </c>
      <c r="EF37" s="975">
        <f t="shared" si="11"/>
        <v>1372242051.072</v>
      </c>
      <c r="EG37" s="691">
        <f t="shared" si="13"/>
        <v>5301072318.4423809</v>
      </c>
      <c r="EH37" s="183">
        <f>DX37*DZ37</f>
        <v>0</v>
      </c>
      <c r="EI37" s="949">
        <f t="shared" si="10"/>
        <v>2030</v>
      </c>
    </row>
    <row r="38" spans="1:139" x14ac:dyDescent="0.3">
      <c r="A38" s="690"/>
      <c r="B38" s="690"/>
      <c r="C38" s="1121">
        <f>C37*2</f>
        <v>128</v>
      </c>
      <c r="D38" s="875">
        <f t="shared" ref="D38:D43" si="18">D37</f>
        <v>21474836.48</v>
      </c>
      <c r="E38" s="875">
        <f t="shared" si="15"/>
        <v>2748779069.4400001</v>
      </c>
      <c r="F38" s="410"/>
      <c r="G38" s="126" t="s">
        <v>732</v>
      </c>
      <c r="CU38" s="1162" t="s">
        <v>1435</v>
      </c>
      <c r="CV38" s="1160"/>
      <c r="CW38" s="1160"/>
      <c r="CX38" s="1160"/>
      <c r="CY38" s="1161" t="s">
        <v>1284</v>
      </c>
      <c r="CZ38" s="1164">
        <f>'POP Dimensions'!L16*150%</f>
        <v>515396075.51999998</v>
      </c>
      <c r="DA38" s="88"/>
      <c r="DB38" s="88"/>
      <c r="DC38" s="253"/>
      <c r="DD38" s="88"/>
      <c r="DE38" s="181"/>
      <c r="DN38" s="332" t="s">
        <v>989</v>
      </c>
      <c r="DO38" s="953">
        <f>DO37+1</f>
        <v>2031</v>
      </c>
      <c r="DP38" s="691">
        <f>DP37+DR37</f>
        <v>109409574817671.25</v>
      </c>
      <c r="DQ38" s="894">
        <f>DQ37</f>
        <v>2.5000000000000001E-2</v>
      </c>
      <c r="DR38" s="691">
        <f>DP38*DQ38</f>
        <v>2735239370441.7813</v>
      </c>
      <c r="DT38" s="76"/>
      <c r="DU38" s="953">
        <f t="shared" ref="DU38:DU55" si="19">DU37+1</f>
        <v>2031</v>
      </c>
      <c r="DV38" s="691">
        <f>DV20</f>
        <v>10737418.24</v>
      </c>
      <c r="DW38" s="987">
        <v>64</v>
      </c>
      <c r="DX38" s="875">
        <f t="shared" si="16"/>
        <v>687194767.36000001</v>
      </c>
      <c r="DY38" s="977"/>
      <c r="DZ38" s="977"/>
      <c r="EA38" s="691">
        <f t="shared" si="17"/>
        <v>0</v>
      </c>
      <c r="EC38" s="691">
        <f t="shared" si="7"/>
        <v>0</v>
      </c>
      <c r="ED38" s="691">
        <f t="shared" ref="ED38:ED55" si="20">EC38+ED37-EH38</f>
        <v>10977936408.576</v>
      </c>
      <c r="EE38" s="894">
        <f t="shared" si="14"/>
        <v>0.125</v>
      </c>
      <c r="EF38" s="975">
        <f t="shared" si="11"/>
        <v>1372242051.072</v>
      </c>
      <c r="EG38" s="691">
        <f t="shared" si="13"/>
        <v>5301072318.4423809</v>
      </c>
      <c r="EH38" s="183">
        <f t="shared" ref="EH38:EH55" si="21">DX38*DZ38</f>
        <v>0</v>
      </c>
      <c r="EI38" s="949">
        <f t="shared" si="10"/>
        <v>2031</v>
      </c>
    </row>
    <row r="39" spans="1:139" x14ac:dyDescent="0.3">
      <c r="A39" s="690"/>
      <c r="B39" s="690"/>
      <c r="C39" s="1151">
        <f>C38*2</f>
        <v>256</v>
      </c>
      <c r="D39" s="411">
        <f t="shared" si="18"/>
        <v>21474836.48</v>
      </c>
      <c r="E39" s="411">
        <f t="shared" si="15"/>
        <v>5497558138.8800001</v>
      </c>
      <c r="F39" s="896"/>
      <c r="G39" s="902" t="s">
        <v>732</v>
      </c>
      <c r="CU39" s="1163" t="s">
        <v>1436</v>
      </c>
      <c r="CY39" s="1155" t="s">
        <v>1279</v>
      </c>
      <c r="CZ39" s="1164">
        <v>-19000000000</v>
      </c>
      <c r="DA39" s="208">
        <v>0.05</v>
      </c>
      <c r="DB39" s="76">
        <f>CZ49*DA39</f>
        <v>18991682146.826035</v>
      </c>
      <c r="DC39" s="253" t="s">
        <v>1465</v>
      </c>
      <c r="DD39" s="88"/>
      <c r="DE39" s="181"/>
      <c r="DH39" s="616"/>
      <c r="DI39" s="617"/>
      <c r="DN39" s="332" t="s">
        <v>989</v>
      </c>
      <c r="DO39" s="953">
        <f>DO38+1</f>
        <v>2032</v>
      </c>
      <c r="DP39" s="691">
        <f>DP38+DR38</f>
        <v>112144814188113.03</v>
      </c>
      <c r="DQ39" s="894">
        <f>DQ38</f>
        <v>2.5000000000000001E-2</v>
      </c>
      <c r="DR39" s="691">
        <f>DP39*DQ39</f>
        <v>2803620354702.8262</v>
      </c>
      <c r="DS39" s="895" t="s">
        <v>1281</v>
      </c>
      <c r="DT39" s="76"/>
      <c r="DU39" s="953">
        <f t="shared" si="19"/>
        <v>2032</v>
      </c>
      <c r="DV39" s="691">
        <f t="shared" ref="DV39:DV55" si="22">DV29</f>
        <v>10737418.24</v>
      </c>
      <c r="DW39" s="987">
        <v>64</v>
      </c>
      <c r="DX39" s="875">
        <f t="shared" si="16"/>
        <v>687194767.36000001</v>
      </c>
      <c r="DY39" s="977"/>
      <c r="DZ39" s="977"/>
      <c r="EA39" s="691">
        <f t="shared" si="17"/>
        <v>0</v>
      </c>
      <c r="EC39" s="691">
        <f t="shared" si="7"/>
        <v>0</v>
      </c>
      <c r="ED39" s="691">
        <f t="shared" si="20"/>
        <v>10977936408.576</v>
      </c>
      <c r="EE39" s="894">
        <f t="shared" si="14"/>
        <v>0.125</v>
      </c>
      <c r="EF39" s="975">
        <f t="shared" si="11"/>
        <v>1372242051.072</v>
      </c>
      <c r="EG39" s="691">
        <f t="shared" si="13"/>
        <v>5301072318.4423809</v>
      </c>
      <c r="EH39" s="183">
        <f t="shared" si="21"/>
        <v>0</v>
      </c>
      <c r="EI39" s="949">
        <f t="shared" si="10"/>
        <v>2032</v>
      </c>
    </row>
    <row r="40" spans="1:139" x14ac:dyDescent="0.3">
      <c r="A40" s="690"/>
      <c r="B40" s="690"/>
      <c r="C40" s="1152">
        <f t="shared" ref="C40:C43" si="23">C39*2</f>
        <v>512</v>
      </c>
      <c r="D40" s="897">
        <f t="shared" si="18"/>
        <v>21474836.48</v>
      </c>
      <c r="E40" s="897">
        <f t="shared" si="15"/>
        <v>10995116277.76</v>
      </c>
      <c r="F40" s="874"/>
      <c r="G40" s="903" t="s">
        <v>732</v>
      </c>
      <c r="CY40" s="1156" t="s">
        <v>1277</v>
      </c>
      <c r="CZ40" s="1164">
        <f>'POP Dimensions'!J17</f>
        <v>1374389534.72</v>
      </c>
      <c r="DA40" s="88"/>
      <c r="DB40" s="253"/>
      <c r="DC40" s="253"/>
      <c r="DD40" s="253"/>
      <c r="DE40" s="181"/>
      <c r="DH40" s="616"/>
      <c r="DI40" s="617"/>
      <c r="DN40" s="332" t="s">
        <v>989</v>
      </c>
      <c r="DO40" s="953">
        <f t="shared" ref="DO40:DO55" si="24">DO39+1</f>
        <v>2033</v>
      </c>
      <c r="DP40" s="691">
        <f t="shared" ref="DP40:DP55" si="25">DP39+DR39</f>
        <v>114948434542815.86</v>
      </c>
      <c r="DQ40" s="894">
        <f t="shared" ref="DQ40:DQ55" si="26">DQ39</f>
        <v>2.5000000000000001E-2</v>
      </c>
      <c r="DR40" s="691">
        <f t="shared" ref="DR40:DR55" si="27">DP40*DQ40</f>
        <v>2873710863570.3965</v>
      </c>
      <c r="DT40" s="76"/>
      <c r="DU40" s="953">
        <f t="shared" si="19"/>
        <v>2033</v>
      </c>
      <c r="DV40" s="691">
        <f t="shared" si="22"/>
        <v>10737418.24</v>
      </c>
      <c r="DW40" s="987">
        <v>64</v>
      </c>
      <c r="DX40" s="875">
        <f t="shared" si="16"/>
        <v>687194767.36000001</v>
      </c>
      <c r="DY40" s="969"/>
      <c r="DZ40" s="977"/>
      <c r="EA40" s="691">
        <f t="shared" si="17"/>
        <v>0</v>
      </c>
      <c r="EC40" s="691">
        <f t="shared" si="7"/>
        <v>0</v>
      </c>
      <c r="ED40" s="691">
        <f t="shared" si="20"/>
        <v>10977936408.576</v>
      </c>
      <c r="EE40" s="894">
        <f t="shared" si="14"/>
        <v>0.125</v>
      </c>
      <c r="EF40" s="975">
        <f t="shared" si="11"/>
        <v>1372242051.072</v>
      </c>
      <c r="EG40" s="691">
        <f t="shared" si="13"/>
        <v>5301072318.4423809</v>
      </c>
      <c r="EH40" s="183">
        <f t="shared" si="21"/>
        <v>0</v>
      </c>
      <c r="EI40" s="949">
        <f t="shared" si="10"/>
        <v>2033</v>
      </c>
    </row>
    <row r="41" spans="1:139" x14ac:dyDescent="0.3">
      <c r="A41" s="690"/>
      <c r="B41" s="690"/>
      <c r="C41" s="1121">
        <f t="shared" si="23"/>
        <v>1024</v>
      </c>
      <c r="D41" s="875">
        <f t="shared" si="18"/>
        <v>21474836.48</v>
      </c>
      <c r="E41" s="875">
        <f t="shared" si="15"/>
        <v>21990232555.52</v>
      </c>
      <c r="F41" s="410"/>
      <c r="G41" s="126" t="s">
        <v>732</v>
      </c>
      <c r="CW41" s="173" t="s">
        <v>1433</v>
      </c>
      <c r="CX41" s="1158"/>
      <c r="CY41" s="1159" t="s">
        <v>1285</v>
      </c>
      <c r="CZ41" s="719">
        <f>'POP Dimensions'!H17*125%</f>
        <v>858993459.20000005</v>
      </c>
      <c r="DA41" s="88"/>
      <c r="DB41" s="253"/>
      <c r="DC41" s="253"/>
      <c r="DD41" s="1215"/>
      <c r="DE41" s="181"/>
      <c r="DH41" s="12" t="s">
        <v>979</v>
      </c>
      <c r="DN41" s="332" t="s">
        <v>989</v>
      </c>
      <c r="DO41" s="953">
        <f t="shared" si="24"/>
        <v>2034</v>
      </c>
      <c r="DP41" s="691">
        <f t="shared" si="25"/>
        <v>117822145406386.25</v>
      </c>
      <c r="DQ41" s="894">
        <f t="shared" si="26"/>
        <v>2.5000000000000001E-2</v>
      </c>
      <c r="DR41" s="691">
        <f t="shared" si="27"/>
        <v>2945553635159.6563</v>
      </c>
      <c r="DT41" s="76"/>
      <c r="DU41" s="953">
        <f t="shared" si="19"/>
        <v>2034</v>
      </c>
      <c r="DV41" s="691">
        <f t="shared" si="22"/>
        <v>10737418.24</v>
      </c>
      <c r="DW41" s="987">
        <v>64</v>
      </c>
      <c r="DX41" s="875">
        <f t="shared" si="16"/>
        <v>687194767.36000001</v>
      </c>
      <c r="DY41" s="969"/>
      <c r="DZ41" s="977"/>
      <c r="EA41" s="691">
        <f t="shared" si="17"/>
        <v>0</v>
      </c>
      <c r="EC41" s="691">
        <f t="shared" si="7"/>
        <v>0</v>
      </c>
      <c r="ED41" s="691">
        <f t="shared" si="20"/>
        <v>10977936408.576</v>
      </c>
      <c r="EE41" s="894">
        <f t="shared" si="14"/>
        <v>0.125</v>
      </c>
      <c r="EF41" s="975">
        <f t="shared" si="11"/>
        <v>1372242051.072</v>
      </c>
      <c r="EG41" s="691">
        <f t="shared" si="13"/>
        <v>5301072318.4423809</v>
      </c>
      <c r="EH41" s="183">
        <f t="shared" si="21"/>
        <v>0</v>
      </c>
      <c r="EI41" s="949">
        <f t="shared" si="10"/>
        <v>2034</v>
      </c>
    </row>
    <row r="42" spans="1:139" x14ac:dyDescent="0.3">
      <c r="A42" s="690"/>
      <c r="B42" s="690"/>
      <c r="C42" s="1153">
        <f t="shared" si="23"/>
        <v>2048</v>
      </c>
      <c r="D42" s="899">
        <f t="shared" si="18"/>
        <v>21474836.48</v>
      </c>
      <c r="E42" s="899">
        <f t="shared" si="15"/>
        <v>43980465111.040001</v>
      </c>
      <c r="F42" s="898"/>
      <c r="G42" s="905" t="s">
        <v>732</v>
      </c>
      <c r="CW42" s="618" t="s">
        <v>1434</v>
      </c>
      <c r="CY42" s="1155" t="s">
        <v>1278</v>
      </c>
      <c r="CZ42" s="1164">
        <f>'Network Cities'!S37*4</f>
        <v>11775000002</v>
      </c>
      <c r="DA42" s="88"/>
      <c r="DB42" s="253"/>
      <c r="DC42" s="253"/>
      <c r="DD42" s="1215"/>
      <c r="DE42" s="181"/>
      <c r="DH42" s="12"/>
      <c r="DN42" s="332" t="s">
        <v>989</v>
      </c>
      <c r="DO42" s="953">
        <f t="shared" si="24"/>
        <v>2035</v>
      </c>
      <c r="DP42" s="691">
        <f t="shared" si="25"/>
        <v>120767699041545.91</v>
      </c>
      <c r="DQ42" s="894">
        <f t="shared" si="26"/>
        <v>2.5000000000000001E-2</v>
      </c>
      <c r="DR42" s="691">
        <f t="shared" si="27"/>
        <v>3019192476038.6479</v>
      </c>
      <c r="DT42" s="76"/>
      <c r="DU42" s="953">
        <f t="shared" si="19"/>
        <v>2035</v>
      </c>
      <c r="DV42" s="691">
        <f t="shared" si="22"/>
        <v>10737418.24</v>
      </c>
      <c r="DW42" s="987">
        <v>64</v>
      </c>
      <c r="DX42" s="875">
        <f t="shared" si="16"/>
        <v>687194767.36000001</v>
      </c>
      <c r="DY42" s="969"/>
      <c r="DZ42" s="977"/>
      <c r="EA42" s="691">
        <f t="shared" si="17"/>
        <v>0</v>
      </c>
      <c r="EC42" s="691">
        <f t="shared" si="7"/>
        <v>0</v>
      </c>
      <c r="ED42" s="691">
        <f t="shared" si="20"/>
        <v>10977936408.576</v>
      </c>
      <c r="EE42" s="894">
        <f t="shared" si="14"/>
        <v>0.125</v>
      </c>
      <c r="EF42" s="975">
        <f t="shared" si="11"/>
        <v>1372242051.072</v>
      </c>
      <c r="EG42" s="691">
        <f t="shared" si="13"/>
        <v>5301072318.4423809</v>
      </c>
      <c r="EH42" s="183">
        <f t="shared" si="21"/>
        <v>0</v>
      </c>
      <c r="EI42" s="949">
        <f t="shared" si="10"/>
        <v>2035</v>
      </c>
    </row>
    <row r="43" spans="1:139" x14ac:dyDescent="0.3">
      <c r="A43" s="690"/>
      <c r="B43" s="690"/>
      <c r="C43" s="1154">
        <f t="shared" si="23"/>
        <v>4096</v>
      </c>
      <c r="D43" s="906">
        <f t="shared" si="18"/>
        <v>21474836.48</v>
      </c>
      <c r="E43" s="906">
        <f t="shared" si="15"/>
        <v>87960930222.080002</v>
      </c>
      <c r="F43" s="907"/>
      <c r="G43" s="908" t="s">
        <v>732</v>
      </c>
      <c r="CY43" s="1155" t="s">
        <v>1161</v>
      </c>
      <c r="CZ43" s="1164">
        <f>'POP Dimensions'!H17*200%</f>
        <v>1374389534.72</v>
      </c>
      <c r="DA43" s="88"/>
      <c r="DB43" s="600"/>
      <c r="DC43" s="253"/>
      <c r="DD43" s="253"/>
      <c r="DE43" s="181"/>
      <c r="DH43" s="12"/>
      <c r="DN43" s="332" t="s">
        <v>989</v>
      </c>
      <c r="DO43" s="953">
        <f t="shared" si="24"/>
        <v>2036</v>
      </c>
      <c r="DP43" s="691">
        <f t="shared" si="25"/>
        <v>123786891517584.55</v>
      </c>
      <c r="DQ43" s="894">
        <f t="shared" si="26"/>
        <v>2.5000000000000001E-2</v>
      </c>
      <c r="DR43" s="691">
        <f t="shared" si="27"/>
        <v>3094672287939.6138</v>
      </c>
      <c r="DT43" s="76"/>
      <c r="DU43" s="953">
        <f t="shared" si="19"/>
        <v>2036</v>
      </c>
      <c r="DV43" s="691">
        <f t="shared" si="22"/>
        <v>10737418.24</v>
      </c>
      <c r="DW43" s="987">
        <v>64</v>
      </c>
      <c r="DX43" s="875">
        <f t="shared" si="16"/>
        <v>687194767.36000001</v>
      </c>
      <c r="DY43" s="969"/>
      <c r="DZ43" s="977"/>
      <c r="EA43" s="691">
        <f t="shared" si="17"/>
        <v>0</v>
      </c>
      <c r="EC43" s="691">
        <f t="shared" si="7"/>
        <v>0</v>
      </c>
      <c r="ED43" s="691">
        <f t="shared" si="20"/>
        <v>10977936408.576</v>
      </c>
      <c r="EE43" s="894">
        <f t="shared" si="14"/>
        <v>0.125</v>
      </c>
      <c r="EF43" s="975">
        <f t="shared" si="11"/>
        <v>1372242051.072</v>
      </c>
      <c r="EG43" s="691">
        <f t="shared" si="13"/>
        <v>5301072318.4423809</v>
      </c>
      <c r="EH43" s="183">
        <f t="shared" si="21"/>
        <v>0</v>
      </c>
      <c r="EI43" s="949">
        <f t="shared" si="10"/>
        <v>2036</v>
      </c>
    </row>
    <row r="44" spans="1:139" x14ac:dyDescent="0.3">
      <c r="A44" s="690"/>
      <c r="B44" s="690"/>
      <c r="CW44" s="1162" t="s">
        <v>1433</v>
      </c>
      <c r="CX44" s="1160"/>
      <c r="CY44" s="1161" t="s">
        <v>1249</v>
      </c>
      <c r="CZ44" s="1164">
        <f>'POP Dimensions'!J17*150%</f>
        <v>2061584302.0799999</v>
      </c>
      <c r="DA44" s="88"/>
      <c r="DB44" s="253"/>
      <c r="DC44" s="254"/>
      <c r="DD44" s="253"/>
      <c r="DE44" s="181"/>
      <c r="DH44" s="12"/>
      <c r="DN44" s="332" t="s">
        <v>989</v>
      </c>
      <c r="DO44" s="953">
        <f t="shared" si="24"/>
        <v>2037</v>
      </c>
      <c r="DP44" s="691">
        <f t="shared" si="25"/>
        <v>126881563805524.16</v>
      </c>
      <c r="DQ44" s="894">
        <f t="shared" si="26"/>
        <v>2.5000000000000001E-2</v>
      </c>
      <c r="DR44" s="691">
        <f t="shared" si="27"/>
        <v>3172039095138.104</v>
      </c>
      <c r="DT44" s="76"/>
      <c r="DU44" s="953">
        <f t="shared" si="19"/>
        <v>2037</v>
      </c>
      <c r="DV44" s="691">
        <f t="shared" si="22"/>
        <v>10737418.24</v>
      </c>
      <c r="DW44" s="987">
        <v>64</v>
      </c>
      <c r="DX44" s="875">
        <f t="shared" si="16"/>
        <v>687194767.36000001</v>
      </c>
      <c r="DY44" s="969"/>
      <c r="DZ44" s="977"/>
      <c r="EA44" s="691">
        <f t="shared" si="17"/>
        <v>0</v>
      </c>
      <c r="EC44" s="691">
        <f t="shared" si="7"/>
        <v>0</v>
      </c>
      <c r="ED44" s="691">
        <f t="shared" si="20"/>
        <v>10977936408.576</v>
      </c>
      <c r="EE44" s="894">
        <f t="shared" si="14"/>
        <v>0.125</v>
      </c>
      <c r="EF44" s="975">
        <f t="shared" si="11"/>
        <v>1372242051.072</v>
      </c>
      <c r="EG44" s="691">
        <f t="shared" si="13"/>
        <v>5301072318.4423809</v>
      </c>
      <c r="EH44" s="183">
        <f t="shared" si="21"/>
        <v>0</v>
      </c>
      <c r="EI44" s="949">
        <f t="shared" si="10"/>
        <v>2037</v>
      </c>
    </row>
    <row r="45" spans="1:139" x14ac:dyDescent="0.3">
      <c r="A45" s="690"/>
      <c r="B45" s="690"/>
      <c r="CW45" s="1163" t="s">
        <v>1437</v>
      </c>
      <c r="CY45" s="1157" t="s">
        <v>148</v>
      </c>
      <c r="CZ45" s="1164">
        <v>0</v>
      </c>
      <c r="DA45" s="88"/>
      <c r="DB45" s="254"/>
      <c r="DC45" s="254"/>
      <c r="DD45" s="253"/>
      <c r="DE45" s="181"/>
      <c r="DH45" s="12"/>
      <c r="DN45" s="332" t="s">
        <v>989</v>
      </c>
      <c r="DO45" s="953">
        <f t="shared" si="24"/>
        <v>2038</v>
      </c>
      <c r="DP45" s="691">
        <f t="shared" si="25"/>
        <v>130053602900662.27</v>
      </c>
      <c r="DQ45" s="894">
        <f t="shared" si="26"/>
        <v>2.5000000000000001E-2</v>
      </c>
      <c r="DR45" s="691">
        <f t="shared" si="27"/>
        <v>3251340072516.5566</v>
      </c>
      <c r="DT45" s="76"/>
      <c r="DU45" s="953">
        <f t="shared" si="19"/>
        <v>2038</v>
      </c>
      <c r="DV45" s="691">
        <f t="shared" si="22"/>
        <v>10737418.24</v>
      </c>
      <c r="DW45" s="987">
        <v>64</v>
      </c>
      <c r="DX45" s="875">
        <f t="shared" si="16"/>
        <v>687194767.36000001</v>
      </c>
      <c r="DY45" s="969"/>
      <c r="DZ45" s="977"/>
      <c r="EA45" s="691">
        <f t="shared" si="17"/>
        <v>0</v>
      </c>
      <c r="EC45" s="691">
        <f t="shared" si="7"/>
        <v>0</v>
      </c>
      <c r="ED45" s="691">
        <f t="shared" si="20"/>
        <v>10977936408.576</v>
      </c>
      <c r="EE45" s="894">
        <f t="shared" si="14"/>
        <v>0.125</v>
      </c>
      <c r="EF45" s="975">
        <f t="shared" si="11"/>
        <v>1372242051.072</v>
      </c>
      <c r="EG45" s="691">
        <f t="shared" si="13"/>
        <v>5301072318.4423809</v>
      </c>
      <c r="EH45" s="183">
        <f t="shared" si="21"/>
        <v>0</v>
      </c>
      <c r="EI45" s="949">
        <f t="shared" si="10"/>
        <v>2038</v>
      </c>
    </row>
    <row r="46" spans="1:139" x14ac:dyDescent="0.3">
      <c r="A46" s="690"/>
      <c r="B46" s="690"/>
      <c r="CY46" s="1150" t="s">
        <v>948</v>
      </c>
      <c r="CZ46" s="1216">
        <f>'2036 - ŔÉŚ 13. É100% '!BZ29</f>
        <v>23379985858.270779</v>
      </c>
      <c r="DA46" s="88"/>
      <c r="DB46" s="253"/>
      <c r="DC46" s="253"/>
      <c r="DD46" s="253"/>
      <c r="DE46" s="181" t="s">
        <v>805</v>
      </c>
      <c r="DF46" s="1" t="s">
        <v>998</v>
      </c>
      <c r="DH46" s="19">
        <v>0.01</v>
      </c>
      <c r="DN46" s="332" t="s">
        <v>989</v>
      </c>
      <c r="DO46" s="953">
        <f t="shared" si="24"/>
        <v>2039</v>
      </c>
      <c r="DP46" s="691">
        <f t="shared" si="25"/>
        <v>133304942973178.83</v>
      </c>
      <c r="DQ46" s="894">
        <f t="shared" si="26"/>
        <v>2.5000000000000001E-2</v>
      </c>
      <c r="DR46" s="691">
        <f t="shared" si="27"/>
        <v>3332623574329.4707</v>
      </c>
      <c r="DT46" s="76"/>
      <c r="DU46" s="953">
        <f t="shared" si="19"/>
        <v>2039</v>
      </c>
      <c r="DV46" s="691">
        <f t="shared" si="22"/>
        <v>10737418.24</v>
      </c>
      <c r="DW46" s="987">
        <v>64</v>
      </c>
      <c r="DX46" s="875">
        <f t="shared" si="16"/>
        <v>687194767.36000001</v>
      </c>
      <c r="DY46" s="969"/>
      <c r="DZ46" s="977"/>
      <c r="EA46" s="691">
        <f t="shared" si="17"/>
        <v>0</v>
      </c>
      <c r="EC46" s="691">
        <f t="shared" si="7"/>
        <v>0</v>
      </c>
      <c r="ED46" s="691">
        <f t="shared" si="20"/>
        <v>10977936408.576</v>
      </c>
      <c r="EE46" s="894">
        <f t="shared" si="14"/>
        <v>0.125</v>
      </c>
      <c r="EF46" s="975">
        <f t="shared" si="11"/>
        <v>1372242051.072</v>
      </c>
      <c r="EG46" s="691">
        <f t="shared" si="13"/>
        <v>5301072318.4423809</v>
      </c>
      <c r="EH46" s="183">
        <f t="shared" si="21"/>
        <v>0</v>
      </c>
      <c r="EI46" s="949">
        <f t="shared" si="10"/>
        <v>2039</v>
      </c>
    </row>
    <row r="47" spans="1:139" x14ac:dyDescent="0.3">
      <c r="K47" s="690"/>
      <c r="CY47" s="122" t="s">
        <v>1385</v>
      </c>
      <c r="CZ47" s="183">
        <f>SUM(CZ35:CZ46)</f>
        <v>23885926993.070778</v>
      </c>
      <c r="DA47" s="251"/>
      <c r="DB47" s="76" t="s">
        <v>805</v>
      </c>
      <c r="DC47" s="691">
        <f>AE82</f>
        <v>6630548568.2489748</v>
      </c>
      <c r="DD47" s="76"/>
      <c r="DE47" s="691">
        <f>DC47</f>
        <v>6630548568.2489748</v>
      </c>
      <c r="DF47" s="691">
        <f>DP31</f>
        <v>92042471679365.094</v>
      </c>
      <c r="DG47" s="76"/>
      <c r="DH47" s="736">
        <f>DF47*DH46</f>
        <v>920424716793.651</v>
      </c>
      <c r="DI47" s="76"/>
      <c r="DJ47" s="208">
        <f>DH47/DE47</f>
        <v>138.81577177508268</v>
      </c>
      <c r="DK47" s="76"/>
      <c r="DL47" s="76"/>
      <c r="DM47" s="76"/>
      <c r="DN47" s="332" t="s">
        <v>989</v>
      </c>
      <c r="DO47" s="953">
        <f t="shared" si="24"/>
        <v>2040</v>
      </c>
      <c r="DP47" s="691">
        <f t="shared" si="25"/>
        <v>136637566547508.3</v>
      </c>
      <c r="DQ47" s="894">
        <f t="shared" si="26"/>
        <v>2.5000000000000001E-2</v>
      </c>
      <c r="DR47" s="691">
        <f t="shared" si="27"/>
        <v>3415939163687.7075</v>
      </c>
      <c r="DT47" s="76"/>
      <c r="DU47" s="953">
        <f t="shared" si="19"/>
        <v>2040</v>
      </c>
      <c r="DV47" s="691">
        <f t="shared" si="22"/>
        <v>10737418.24</v>
      </c>
      <c r="DW47" s="987">
        <v>64</v>
      </c>
      <c r="DX47" s="875">
        <f t="shared" si="16"/>
        <v>687194767.36000001</v>
      </c>
      <c r="DY47" s="969"/>
      <c r="DZ47" s="977"/>
      <c r="EA47" s="691">
        <f t="shared" si="17"/>
        <v>0</v>
      </c>
      <c r="EC47" s="691">
        <f t="shared" si="7"/>
        <v>0</v>
      </c>
      <c r="ED47" s="691">
        <f t="shared" si="20"/>
        <v>10977936408.576</v>
      </c>
      <c r="EE47" s="894">
        <f t="shared" si="14"/>
        <v>0.125</v>
      </c>
      <c r="EF47" s="975">
        <f t="shared" si="11"/>
        <v>1372242051.072</v>
      </c>
      <c r="EG47" s="691">
        <f t="shared" si="13"/>
        <v>5301072318.4423809</v>
      </c>
      <c r="EH47" s="183">
        <f t="shared" si="21"/>
        <v>0</v>
      </c>
      <c r="EI47" s="949">
        <f t="shared" si="10"/>
        <v>2040</v>
      </c>
    </row>
    <row r="48" spans="1:139" ht="16.2" thickBot="1" x14ac:dyDescent="0.35">
      <c r="CY48" s="1150" t="s">
        <v>309</v>
      </c>
      <c r="CZ48" s="182">
        <f>CZ47*CZ34</f>
        <v>574087696955.27808</v>
      </c>
      <c r="DD48" s="565" t="s">
        <v>894</v>
      </c>
      <c r="DE48" s="208">
        <f>DE32/DE47</f>
        <v>57.285402410803677</v>
      </c>
      <c r="DF48" s="367"/>
      <c r="DH48" s="192">
        <f>DE60</f>
        <v>386464191504.76965</v>
      </c>
      <c r="DI48" s="193"/>
      <c r="DJ48" s="1" t="s">
        <v>1339</v>
      </c>
      <c r="DN48" s="332" t="s">
        <v>989</v>
      </c>
      <c r="DO48" s="953">
        <f t="shared" si="24"/>
        <v>2041</v>
      </c>
      <c r="DP48" s="691">
        <f t="shared" si="25"/>
        <v>140053505711196</v>
      </c>
      <c r="DQ48" s="894">
        <f t="shared" si="26"/>
        <v>2.5000000000000001E-2</v>
      </c>
      <c r="DR48" s="691">
        <f t="shared" si="27"/>
        <v>3501337642779.9004</v>
      </c>
      <c r="DT48" s="76"/>
      <c r="DU48" s="953">
        <f t="shared" si="19"/>
        <v>2041</v>
      </c>
      <c r="DV48" s="691">
        <f t="shared" si="22"/>
        <v>10737418.24</v>
      </c>
      <c r="DW48" s="987">
        <v>64</v>
      </c>
      <c r="DX48" s="875">
        <f t="shared" si="16"/>
        <v>687194767.36000001</v>
      </c>
      <c r="DY48" s="969"/>
      <c r="DZ48" s="977"/>
      <c r="EA48" s="691">
        <f t="shared" si="17"/>
        <v>0</v>
      </c>
      <c r="EC48" s="691">
        <f t="shared" si="7"/>
        <v>0</v>
      </c>
      <c r="ED48" s="691">
        <f t="shared" si="20"/>
        <v>10977936408.576</v>
      </c>
      <c r="EE48" s="894">
        <f t="shared" si="14"/>
        <v>0.125</v>
      </c>
      <c r="EF48" s="975">
        <f t="shared" si="11"/>
        <v>1372242051.072</v>
      </c>
      <c r="EG48" s="691">
        <f t="shared" si="13"/>
        <v>5301072318.4423809</v>
      </c>
      <c r="EH48" s="183">
        <f t="shared" si="21"/>
        <v>0</v>
      </c>
      <c r="EI48" s="949">
        <f t="shared" si="10"/>
        <v>2041</v>
      </c>
    </row>
    <row r="49" spans="3:139" ht="16.2" thickBot="1" x14ac:dyDescent="0.35">
      <c r="C49" s="1" t="s">
        <v>801</v>
      </c>
      <c r="CY49" s="1150" t="s">
        <v>308</v>
      </c>
      <c r="CZ49" s="182">
        <f>CZ48*DA49</f>
        <v>379833642936.52069</v>
      </c>
      <c r="DA49" s="680">
        <v>0.66163000000000005</v>
      </c>
      <c r="DB49" s="1" t="s">
        <v>1275</v>
      </c>
      <c r="DD49" s="565" t="s">
        <v>888</v>
      </c>
      <c r="DE49" s="953">
        <v>8</v>
      </c>
      <c r="DF49" s="1" t="s">
        <v>889</v>
      </c>
      <c r="DJ49" s="1" t="s">
        <v>1340</v>
      </c>
      <c r="DN49" s="332" t="s">
        <v>989</v>
      </c>
      <c r="DO49" s="953">
        <f t="shared" si="24"/>
        <v>2042</v>
      </c>
      <c r="DP49" s="691">
        <f t="shared" si="25"/>
        <v>143554843353975.91</v>
      </c>
      <c r="DQ49" s="894">
        <f t="shared" si="26"/>
        <v>2.5000000000000001E-2</v>
      </c>
      <c r="DR49" s="691">
        <f t="shared" si="27"/>
        <v>3588871083849.3979</v>
      </c>
      <c r="DT49" s="76"/>
      <c r="DU49" s="953">
        <f t="shared" si="19"/>
        <v>2042</v>
      </c>
      <c r="DV49" s="691">
        <f t="shared" si="22"/>
        <v>10737418.24</v>
      </c>
      <c r="DW49" s="987">
        <v>64</v>
      </c>
      <c r="DX49" s="875">
        <f t="shared" si="16"/>
        <v>687194767.36000001</v>
      </c>
      <c r="DY49" s="969"/>
      <c r="DZ49" s="977"/>
      <c r="EA49" s="691">
        <f t="shared" si="17"/>
        <v>0</v>
      </c>
      <c r="EC49" s="691">
        <f t="shared" si="7"/>
        <v>0</v>
      </c>
      <c r="ED49" s="691">
        <f t="shared" si="20"/>
        <v>10977936408.576</v>
      </c>
      <c r="EE49" s="894">
        <f t="shared" si="14"/>
        <v>0.125</v>
      </c>
      <c r="EF49" s="975">
        <f t="shared" si="11"/>
        <v>1372242051.072</v>
      </c>
      <c r="EG49" s="691">
        <f t="shared" si="13"/>
        <v>5301072318.4423809</v>
      </c>
      <c r="EH49" s="183">
        <f t="shared" si="21"/>
        <v>0</v>
      </c>
      <c r="EI49" s="949">
        <f t="shared" si="10"/>
        <v>2042</v>
      </c>
    </row>
    <row r="50" spans="3:139" x14ac:dyDescent="0.3">
      <c r="C50" s="13"/>
      <c r="D50" s="4"/>
      <c r="E50" s="120" t="s">
        <v>275</v>
      </c>
      <c r="F50" s="4"/>
      <c r="G50" s="173" t="s">
        <v>288</v>
      </c>
      <c r="H50" s="462" t="s">
        <v>1367</v>
      </c>
      <c r="I50" s="170" t="s">
        <v>1373</v>
      </c>
      <c r="J50" s="175" t="s">
        <v>297</v>
      </c>
      <c r="K50" s="170" t="s">
        <v>802</v>
      </c>
      <c r="CZ50" s="239"/>
      <c r="DB50" s="1" t="s">
        <v>1276</v>
      </c>
      <c r="DD50" s="565" t="s">
        <v>890</v>
      </c>
      <c r="DE50" s="208">
        <f>DE48/DE49</f>
        <v>7.1606753013504596</v>
      </c>
      <c r="DN50" s="332" t="s">
        <v>989</v>
      </c>
      <c r="DO50" s="953">
        <f t="shared" si="24"/>
        <v>2043</v>
      </c>
      <c r="DP50" s="691">
        <f t="shared" si="25"/>
        <v>147143714437825.31</v>
      </c>
      <c r="DQ50" s="894">
        <f t="shared" si="26"/>
        <v>2.5000000000000001E-2</v>
      </c>
      <c r="DR50" s="691">
        <f t="shared" si="27"/>
        <v>3678592860945.6328</v>
      </c>
      <c r="DT50" s="76"/>
      <c r="DU50" s="953">
        <f t="shared" si="19"/>
        <v>2043</v>
      </c>
      <c r="DV50" s="691">
        <f t="shared" si="22"/>
        <v>10737418.24</v>
      </c>
      <c r="DW50" s="987">
        <v>64</v>
      </c>
      <c r="DX50" s="875">
        <f t="shared" si="16"/>
        <v>687194767.36000001</v>
      </c>
      <c r="DY50" s="969"/>
      <c r="DZ50" s="977"/>
      <c r="EA50" s="691">
        <f t="shared" si="17"/>
        <v>0</v>
      </c>
      <c r="EC50" s="691">
        <f t="shared" si="7"/>
        <v>0</v>
      </c>
      <c r="ED50" s="691">
        <f t="shared" si="20"/>
        <v>10977936408.576</v>
      </c>
      <c r="EE50" s="894">
        <f t="shared" si="14"/>
        <v>0.125</v>
      </c>
      <c r="EF50" s="975">
        <f t="shared" si="11"/>
        <v>1372242051.072</v>
      </c>
      <c r="EG50" s="691">
        <f t="shared" si="13"/>
        <v>5301072318.4423809</v>
      </c>
      <c r="EH50" s="183">
        <f t="shared" si="21"/>
        <v>0</v>
      </c>
      <c r="EI50" s="949">
        <f t="shared" si="10"/>
        <v>2043</v>
      </c>
    </row>
    <row r="51" spans="3:139" x14ac:dyDescent="0.3">
      <c r="C51" s="122"/>
      <c r="D51" s="7"/>
      <c r="E51" s="875">
        <f>E8</f>
        <v>23885926993.070778</v>
      </c>
      <c r="F51" s="7"/>
      <c r="G51" s="468" t="s">
        <v>1386</v>
      </c>
      <c r="H51" s="469"/>
      <c r="I51" s="470"/>
      <c r="J51" s="471"/>
      <c r="K51" s="470"/>
      <c r="CZ51" s="277" t="s">
        <v>748</v>
      </c>
      <c r="DD51" s="239"/>
      <c r="DE51" s="76"/>
      <c r="DN51" s="332" t="s">
        <v>989</v>
      </c>
      <c r="DO51" s="953">
        <f t="shared" si="24"/>
        <v>2044</v>
      </c>
      <c r="DP51" s="691">
        <f t="shared" si="25"/>
        <v>150822307298770.94</v>
      </c>
      <c r="DQ51" s="894">
        <f t="shared" si="26"/>
        <v>2.5000000000000001E-2</v>
      </c>
      <c r="DR51" s="691">
        <f t="shared" si="27"/>
        <v>3770557682469.2734</v>
      </c>
      <c r="DT51" s="76"/>
      <c r="DU51" s="953">
        <f t="shared" si="19"/>
        <v>2044</v>
      </c>
      <c r="DV51" s="691">
        <f t="shared" si="22"/>
        <v>10737418.24</v>
      </c>
      <c r="DW51" s="987">
        <v>64</v>
      </c>
      <c r="DX51" s="875">
        <f t="shared" si="16"/>
        <v>687194767.36000001</v>
      </c>
      <c r="DY51" s="969"/>
      <c r="DZ51" s="977"/>
      <c r="EA51" s="691">
        <f t="shared" si="17"/>
        <v>0</v>
      </c>
      <c r="EC51" s="691">
        <f t="shared" si="7"/>
        <v>0</v>
      </c>
      <c r="ED51" s="691">
        <f t="shared" si="20"/>
        <v>10977936408.576</v>
      </c>
      <c r="EE51" s="894">
        <f t="shared" si="14"/>
        <v>0.125</v>
      </c>
      <c r="EF51" s="975">
        <f t="shared" si="11"/>
        <v>1372242051.072</v>
      </c>
      <c r="EG51" s="691">
        <f t="shared" si="13"/>
        <v>5301072318.4423809</v>
      </c>
      <c r="EH51" s="183">
        <f t="shared" si="21"/>
        <v>0</v>
      </c>
      <c r="EI51" s="949">
        <f t="shared" si="10"/>
        <v>2044</v>
      </c>
    </row>
    <row r="52" spans="3:139" ht="16.2" thickBot="1" x14ac:dyDescent="0.35">
      <c r="C52" s="122"/>
      <c r="D52" s="7"/>
      <c r="E52" s="7"/>
      <c r="F52" s="127"/>
      <c r="G52" s="127" t="s">
        <v>280</v>
      </c>
      <c r="H52" s="7"/>
      <c r="I52" s="459" t="s">
        <v>282</v>
      </c>
      <c r="J52" s="122"/>
      <c r="K52" s="8"/>
      <c r="CZ52" s="277" t="s">
        <v>747</v>
      </c>
      <c r="DB52" s="110" t="s">
        <v>746</v>
      </c>
      <c r="DD52" s="565" t="s">
        <v>891</v>
      </c>
      <c r="DE52" s="76"/>
      <c r="DN52" s="332" t="s">
        <v>989</v>
      </c>
      <c r="DO52" s="953">
        <f t="shared" si="24"/>
        <v>2045</v>
      </c>
      <c r="DP52" s="691">
        <f t="shared" si="25"/>
        <v>154592864981240.22</v>
      </c>
      <c r="DQ52" s="894">
        <f t="shared" si="26"/>
        <v>2.5000000000000001E-2</v>
      </c>
      <c r="DR52" s="691">
        <f t="shared" si="27"/>
        <v>3864821624531.0059</v>
      </c>
      <c r="DT52" s="76"/>
      <c r="DU52" s="953">
        <f t="shared" si="19"/>
        <v>2045</v>
      </c>
      <c r="DV52" s="691">
        <f t="shared" si="22"/>
        <v>10737418.24</v>
      </c>
      <c r="DW52" s="987">
        <v>64</v>
      </c>
      <c r="DX52" s="875">
        <f t="shared" si="16"/>
        <v>687194767.36000001</v>
      </c>
      <c r="DY52" s="969"/>
      <c r="DZ52" s="977"/>
      <c r="EA52" s="691">
        <f t="shared" si="17"/>
        <v>0</v>
      </c>
      <c r="EC52" s="691">
        <f t="shared" si="7"/>
        <v>0</v>
      </c>
      <c r="ED52" s="691">
        <f t="shared" si="20"/>
        <v>10977936408.576</v>
      </c>
      <c r="EE52" s="894">
        <f t="shared" si="14"/>
        <v>0.125</v>
      </c>
      <c r="EF52" s="975">
        <f t="shared" si="11"/>
        <v>1372242051.072</v>
      </c>
      <c r="EG52" s="691">
        <f t="shared" si="13"/>
        <v>5301072318.4423809</v>
      </c>
      <c r="EH52" s="183">
        <f t="shared" si="21"/>
        <v>0</v>
      </c>
      <c r="EI52" s="949">
        <f t="shared" si="10"/>
        <v>2045</v>
      </c>
    </row>
    <row r="53" spans="3:139" ht="16.2" thickBot="1" x14ac:dyDescent="0.35">
      <c r="C53" s="122"/>
      <c r="D53" s="7"/>
      <c r="E53" s="7"/>
      <c r="F53" s="129">
        <v>0.25</v>
      </c>
      <c r="G53" s="130">
        <f>E57*F53</f>
        <v>331875243.49729216</v>
      </c>
      <c r="H53" s="460">
        <v>0.5</v>
      </c>
      <c r="I53" s="130">
        <f>G53*H53</f>
        <v>165937621.74864608</v>
      </c>
      <c r="J53" s="460">
        <v>0</v>
      </c>
      <c r="K53" s="458">
        <f>I53*J53</f>
        <v>0</v>
      </c>
      <c r="CX53" s="933">
        <f>DA53</f>
        <v>2048</v>
      </c>
      <c r="CY53" s="927" t="s">
        <v>745</v>
      </c>
      <c r="CZ53" s="578">
        <f>DB53*DA53</f>
        <v>43980465111.040001</v>
      </c>
      <c r="DA53" s="934">
        <v>2048</v>
      </c>
      <c r="DB53" s="578">
        <f>'POP Dimensions'!J15</f>
        <v>21474836.48</v>
      </c>
      <c r="DC53" s="239"/>
      <c r="DD53" s="565" t="s">
        <v>901</v>
      </c>
      <c r="DE53" s="484">
        <v>0.17</v>
      </c>
      <c r="DF53" s="1" t="s">
        <v>895</v>
      </c>
      <c r="DN53" s="332" t="s">
        <v>989</v>
      </c>
      <c r="DO53" s="953">
        <f t="shared" si="24"/>
        <v>2046</v>
      </c>
      <c r="DP53" s="691">
        <f t="shared" si="25"/>
        <v>158457686605771.22</v>
      </c>
      <c r="DQ53" s="894">
        <f t="shared" si="26"/>
        <v>2.5000000000000001E-2</v>
      </c>
      <c r="DR53" s="691">
        <f t="shared" si="27"/>
        <v>3961442165144.2808</v>
      </c>
      <c r="DT53" s="76"/>
      <c r="DU53" s="953">
        <f t="shared" si="19"/>
        <v>2046</v>
      </c>
      <c r="DV53" s="691">
        <f t="shared" si="22"/>
        <v>10737418.24</v>
      </c>
      <c r="DW53" s="987">
        <v>64</v>
      </c>
      <c r="DX53" s="875">
        <f t="shared" si="16"/>
        <v>687194767.36000001</v>
      </c>
      <c r="DY53" s="969"/>
      <c r="DZ53" s="977"/>
      <c r="EA53" s="691">
        <f t="shared" si="17"/>
        <v>0</v>
      </c>
      <c r="EC53" s="691">
        <f t="shared" si="7"/>
        <v>0</v>
      </c>
      <c r="ED53" s="691">
        <f t="shared" si="20"/>
        <v>10977936408.576</v>
      </c>
      <c r="EE53" s="894">
        <f t="shared" si="14"/>
        <v>0.125</v>
      </c>
      <c r="EF53" s="975">
        <f t="shared" si="11"/>
        <v>1372242051.072</v>
      </c>
      <c r="EG53" s="691">
        <f t="shared" si="13"/>
        <v>5301072318.4423809</v>
      </c>
      <c r="EH53" s="183">
        <f t="shared" si="21"/>
        <v>0</v>
      </c>
      <c r="EI53" s="949">
        <f t="shared" si="10"/>
        <v>2046</v>
      </c>
    </row>
    <row r="54" spans="3:139" ht="16.2" thickBot="1" x14ac:dyDescent="0.35">
      <c r="C54" s="122"/>
      <c r="D54" s="7"/>
      <c r="E54" s="7"/>
      <c r="F54" s="133"/>
      <c r="G54" s="134" t="s">
        <v>290</v>
      </c>
      <c r="H54" s="7"/>
      <c r="I54" s="457" t="s">
        <v>283</v>
      </c>
      <c r="J54" s="122"/>
      <c r="K54" s="8"/>
      <c r="CX54" s="927"/>
      <c r="CZ54" s="999" t="s">
        <v>1355</v>
      </c>
      <c r="DA54" s="254"/>
      <c r="DB54" s="248" t="s">
        <v>1290</v>
      </c>
      <c r="DD54" s="566"/>
      <c r="DE54" s="76"/>
      <c r="DN54" s="332" t="s">
        <v>989</v>
      </c>
      <c r="DO54" s="953">
        <f t="shared" si="24"/>
        <v>2047</v>
      </c>
      <c r="DP54" s="691">
        <f t="shared" si="25"/>
        <v>162419128770915.5</v>
      </c>
      <c r="DQ54" s="894">
        <f t="shared" si="26"/>
        <v>2.5000000000000001E-2</v>
      </c>
      <c r="DR54" s="691">
        <f t="shared" si="27"/>
        <v>4060478219272.8877</v>
      </c>
      <c r="DT54" s="76"/>
      <c r="DU54" s="953">
        <f t="shared" si="19"/>
        <v>2047</v>
      </c>
      <c r="DV54" s="691">
        <f t="shared" si="22"/>
        <v>10737418.24</v>
      </c>
      <c r="DW54" s="987">
        <v>64</v>
      </c>
      <c r="DX54" s="875">
        <f t="shared" si="16"/>
        <v>687194767.36000001</v>
      </c>
      <c r="DY54" s="969"/>
      <c r="DZ54" s="977"/>
      <c r="EA54" s="691">
        <f t="shared" si="17"/>
        <v>0</v>
      </c>
      <c r="EC54" s="691">
        <f t="shared" si="7"/>
        <v>0</v>
      </c>
      <c r="ED54" s="691">
        <f t="shared" si="20"/>
        <v>10977936408.576</v>
      </c>
      <c r="EE54" s="894">
        <f t="shared" si="14"/>
        <v>0.125</v>
      </c>
      <c r="EF54" s="975">
        <f t="shared" si="11"/>
        <v>1372242051.072</v>
      </c>
      <c r="EG54" s="691">
        <f t="shared" si="13"/>
        <v>5301072318.4423809</v>
      </c>
      <c r="EH54" s="183">
        <f t="shared" si="21"/>
        <v>0</v>
      </c>
      <c r="EI54" s="949">
        <f t="shared" si="10"/>
        <v>2047</v>
      </c>
    </row>
    <row r="55" spans="3:139" ht="16.2" thickBot="1" x14ac:dyDescent="0.35">
      <c r="C55" s="122"/>
      <c r="D55" s="7"/>
      <c r="E55" s="7"/>
      <c r="F55" s="133">
        <v>0.25</v>
      </c>
      <c r="G55" s="135">
        <f>E57*F55</f>
        <v>331875243.49729216</v>
      </c>
      <c r="H55" s="461">
        <v>0.9</v>
      </c>
      <c r="I55" s="135">
        <f>G55*H55</f>
        <v>298687719.14756298</v>
      </c>
      <c r="J55" s="461">
        <v>0</v>
      </c>
      <c r="K55" s="440">
        <f>I55*J55</f>
        <v>0</v>
      </c>
      <c r="CX55" s="239"/>
      <c r="CZ55" s="1002" t="s">
        <v>867</v>
      </c>
      <c r="DA55" s="254"/>
      <c r="DB55" s="253"/>
      <c r="DD55" s="239"/>
      <c r="DE55" s="484">
        <v>0.17</v>
      </c>
      <c r="DF55" s="32">
        <f>DE55</f>
        <v>0.17</v>
      </c>
      <c r="DN55" s="332" t="s">
        <v>989</v>
      </c>
      <c r="DO55" s="953">
        <f t="shared" si="24"/>
        <v>2048</v>
      </c>
      <c r="DP55" s="691">
        <f t="shared" si="25"/>
        <v>166479606990188.38</v>
      </c>
      <c r="DQ55" s="894">
        <f t="shared" si="26"/>
        <v>2.5000000000000001E-2</v>
      </c>
      <c r="DR55" s="691">
        <f t="shared" si="27"/>
        <v>4161990174754.7095</v>
      </c>
      <c r="DS55" s="895" t="s">
        <v>1280</v>
      </c>
      <c r="DT55" s="76"/>
      <c r="DU55" s="953">
        <f t="shared" si="19"/>
        <v>2048</v>
      </c>
      <c r="DV55" s="691">
        <f t="shared" si="22"/>
        <v>10737418.24</v>
      </c>
      <c r="DW55" s="987">
        <v>64</v>
      </c>
      <c r="DX55" s="875">
        <f t="shared" si="16"/>
        <v>687194767.36000001</v>
      </c>
      <c r="DY55" s="969"/>
      <c r="DZ55" s="977"/>
      <c r="EA55" s="691">
        <f t="shared" si="17"/>
        <v>0</v>
      </c>
      <c r="EC55" s="691">
        <f t="shared" si="7"/>
        <v>0</v>
      </c>
      <c r="ED55" s="691">
        <f t="shared" si="20"/>
        <v>10977936408.576</v>
      </c>
      <c r="EE55" s="894">
        <f t="shared" si="14"/>
        <v>0.125</v>
      </c>
      <c r="EF55" s="975">
        <f t="shared" si="11"/>
        <v>1372242051.072</v>
      </c>
      <c r="EG55" s="691">
        <f t="shared" si="13"/>
        <v>5301072318.4423809</v>
      </c>
      <c r="EH55" s="183">
        <f t="shared" si="21"/>
        <v>0</v>
      </c>
      <c r="EI55" s="949">
        <f t="shared" si="10"/>
        <v>2048</v>
      </c>
    </row>
    <row r="56" spans="3:139" ht="18.600000000000001" thickBot="1" x14ac:dyDescent="0.4">
      <c r="C56" s="122"/>
      <c r="D56" s="7"/>
      <c r="E56" s="7"/>
      <c r="F56" s="136"/>
      <c r="G56" s="136" t="s">
        <v>279</v>
      </c>
      <c r="H56" s="7"/>
      <c r="I56" s="451" t="s">
        <v>284</v>
      </c>
      <c r="J56" s="122"/>
      <c r="K56" s="8"/>
      <c r="S56" s="88"/>
      <c r="CX56" s="239"/>
      <c r="CZ56" s="719">
        <f>CZ48-CZ53</f>
        <v>530107231844.2381</v>
      </c>
      <c r="DA56" s="253"/>
      <c r="DB56" s="253"/>
      <c r="DC56" s="253"/>
      <c r="DD56" s="239" t="s">
        <v>892</v>
      </c>
      <c r="DE56" s="615">
        <f>DF58</f>
        <v>42.12161941970858</v>
      </c>
      <c r="DF56" s="569" t="s">
        <v>980</v>
      </c>
      <c r="DG56" s="569"/>
      <c r="DH56" s="181"/>
      <c r="DI56" s="181"/>
      <c r="DJ56" s="252"/>
      <c r="DK56" s="252"/>
      <c r="DL56" s="252"/>
      <c r="DM56" s="252"/>
      <c r="DS56" s="1"/>
      <c r="DY56" s="979">
        <f>SUM(DY22:DY55)</f>
        <v>15.975</v>
      </c>
      <c r="DZ56" s="979">
        <f>SUM(DZ22:DZ55)</f>
        <v>0</v>
      </c>
    </row>
    <row r="57" spans="3:139" ht="16.8" thickTop="1" thickBot="1" x14ac:dyDescent="0.35">
      <c r="C57" s="137" t="s">
        <v>291</v>
      </c>
      <c r="D57" s="138">
        <f>E57/E51</f>
        <v>5.5576698964803502E-2</v>
      </c>
      <c r="E57" s="139">
        <f>E14</f>
        <v>1327500973.9891686</v>
      </c>
      <c r="F57" s="140">
        <v>0.5</v>
      </c>
      <c r="G57" s="139">
        <f>E57*F57</f>
        <v>663750486.99458432</v>
      </c>
      <c r="H57" s="463">
        <v>0.95</v>
      </c>
      <c r="I57" s="139">
        <f>G57*H57</f>
        <v>630562962.64485502</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7" t="s">
        <v>1293</v>
      </c>
      <c r="CZ57" s="1003"/>
      <c r="DA57" s="253"/>
      <c r="DB57" s="877" t="s">
        <v>1293</v>
      </c>
      <c r="DC57" s="252"/>
      <c r="DD57" s="239"/>
      <c r="DE57" s="208">
        <f>DE50</f>
        <v>7.1606753013504596</v>
      </c>
      <c r="DF57" s="80">
        <f>DE57</f>
        <v>7.1606753013504596</v>
      </c>
      <c r="EC57" s="77" t="s">
        <v>966</v>
      </c>
      <c r="ED57" s="77"/>
      <c r="EE57" s="77" t="s">
        <v>965</v>
      </c>
      <c r="EF57" s="77"/>
      <c r="EG57" s="77"/>
    </row>
    <row r="58" spans="3:139"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7" t="s">
        <v>1294</v>
      </c>
      <c r="CZ58" s="996">
        <f>CZ56*DA58</f>
        <v>5301072318.4423809</v>
      </c>
      <c r="DA58" s="923">
        <v>0.01</v>
      </c>
      <c r="DB58" s="924" t="s">
        <v>1443</v>
      </c>
      <c r="DC58" s="925"/>
      <c r="DD58" s="239"/>
      <c r="DE58" s="76"/>
      <c r="DF58" s="1">
        <f>DF57/DF55</f>
        <v>42.12161941970858</v>
      </c>
      <c r="EC58" s="77" t="s">
        <v>785</v>
      </c>
      <c r="ED58" s="77"/>
      <c r="EE58" s="77" t="s">
        <v>962</v>
      </c>
      <c r="EF58" s="77"/>
      <c r="EG58" s="77"/>
    </row>
    <row r="59" spans="3:139"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909"/>
      <c r="BQ59" s="909"/>
      <c r="BR59" s="909"/>
      <c r="BS59" s="909"/>
      <c r="BT59" s="909"/>
      <c r="BU59" s="909"/>
      <c r="BV59" s="909"/>
      <c r="BW59" s="909"/>
      <c r="BX59" s="909"/>
      <c r="BY59" s="909"/>
      <c r="BZ59" s="909"/>
      <c r="CA59" s="909"/>
      <c r="CB59" s="909"/>
      <c r="CC59" s="909"/>
      <c r="CD59" s="909"/>
      <c r="CE59" s="909"/>
      <c r="CF59" s="909"/>
      <c r="CG59" s="909"/>
      <c r="CH59" s="909"/>
      <c r="CI59" s="909"/>
      <c r="CJ59" s="909"/>
      <c r="CK59" s="909"/>
      <c r="CL59" s="909"/>
      <c r="CM59" s="909"/>
      <c r="CN59" s="909"/>
      <c r="CO59" s="909"/>
      <c r="CP59" s="909"/>
      <c r="CQ59" s="909"/>
      <c r="CR59" s="909"/>
      <c r="CS59" s="909"/>
      <c r="CT59" s="909"/>
      <c r="CU59" s="909"/>
      <c r="CV59" s="76"/>
      <c r="CW59" s="410"/>
      <c r="CX59" s="928"/>
      <c r="CY59" s="948" t="s">
        <v>1295</v>
      </c>
      <c r="CZ59" s="911">
        <f>CZ56*DA59</f>
        <v>10602144636.884762</v>
      </c>
      <c r="DA59" s="912">
        <v>0.02</v>
      </c>
      <c r="DB59" s="875" t="s">
        <v>1162</v>
      </c>
      <c r="DC59" s="126"/>
      <c r="DD59" s="239"/>
      <c r="DE59" s="76"/>
      <c r="DJ59" s="32"/>
    </row>
    <row r="60" spans="3:139" ht="16.2" thickBot="1" x14ac:dyDescent="0.35">
      <c r="C60" s="397" t="s">
        <v>276</v>
      </c>
      <c r="D60" s="398">
        <f>100%-D57-D63</f>
        <v>0.78125</v>
      </c>
      <c r="E60" s="399">
        <f>E51*D60</f>
        <v>18660880463.336544</v>
      </c>
      <c r="F60" s="400">
        <v>1</v>
      </c>
      <c r="G60" s="399">
        <f>E60*F60</f>
        <v>18660880463.336544</v>
      </c>
      <c r="H60" s="464">
        <v>0.9</v>
      </c>
      <c r="I60" s="399">
        <f>G60*H60</f>
        <v>16794792417.00289</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8" t="s">
        <v>1296</v>
      </c>
      <c r="CZ60" s="911">
        <f>CZ56*DA60</f>
        <v>21204289273.769524</v>
      </c>
      <c r="DA60" s="912">
        <v>0.04</v>
      </c>
      <c r="DB60" s="875" t="s">
        <v>1441</v>
      </c>
      <c r="DC60" s="126"/>
      <c r="DD60" s="239"/>
      <c r="DE60" s="691">
        <f>DE32+DE47</f>
        <v>386464191504.76965</v>
      </c>
      <c r="DF60" s="1" t="s">
        <v>958</v>
      </c>
      <c r="DS60" s="1"/>
      <c r="DW60" s="1"/>
      <c r="EH60" s="1"/>
      <c r="EI60" s="1"/>
    </row>
    <row r="61" spans="3:139"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10"/>
      <c r="CX61" s="927"/>
      <c r="CY61" s="948" t="s">
        <v>1297</v>
      </c>
      <c r="CZ61" s="911">
        <f>CZ56*DA61</f>
        <v>31806433910.654285</v>
      </c>
      <c r="DA61" s="912">
        <v>0.06</v>
      </c>
      <c r="DB61" s="875" t="s">
        <v>1303</v>
      </c>
      <c r="DC61" s="126"/>
      <c r="DD61" s="253"/>
      <c r="DE61" s="647">
        <f>DE60/DE47</f>
        <v>58.285402410803677</v>
      </c>
    </row>
    <row r="62" spans="3:139"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8" t="s">
        <v>1300</v>
      </c>
      <c r="CZ62" s="911">
        <f>CZ56*DA62</f>
        <v>47709650865.98143</v>
      </c>
      <c r="DA62" s="912">
        <v>0.09</v>
      </c>
      <c r="DB62" s="410" t="s">
        <v>1442</v>
      </c>
      <c r="DC62" s="126"/>
      <c r="DD62" s="253"/>
    </row>
    <row r="63" spans="3:139" ht="16.2" thickBot="1" x14ac:dyDescent="0.35">
      <c r="C63" s="149" t="s">
        <v>737</v>
      </c>
      <c r="D63" s="150">
        <f>E63/E51</f>
        <v>0.16317330103519651</v>
      </c>
      <c r="E63" s="151">
        <f>E21</f>
        <v>3897545555.7450643</v>
      </c>
      <c r="F63" s="152">
        <v>0.3</v>
      </c>
      <c r="G63" s="151">
        <f>E63*F63</f>
        <v>1169263666.7235193</v>
      </c>
      <c r="H63" s="465">
        <v>0.9</v>
      </c>
      <c r="I63" s="151">
        <f>G63*H63</f>
        <v>1052337300.0511674</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26"/>
      <c r="CV63" s="410"/>
      <c r="CW63" s="410"/>
      <c r="CX63" s="927"/>
      <c r="CY63" s="948" t="s">
        <v>1305</v>
      </c>
      <c r="CZ63" s="911">
        <f>CZ56*DA63</f>
        <v>21204289273.769524</v>
      </c>
      <c r="DA63" s="912">
        <v>0.04</v>
      </c>
      <c r="DB63" s="410" t="s">
        <v>148</v>
      </c>
      <c r="DC63" s="126"/>
      <c r="DD63" s="253"/>
    </row>
    <row r="64" spans="3:139"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64"/>
      <c r="CW64" s="106"/>
      <c r="CX64" s="929"/>
      <c r="CY64" s="938"/>
      <c r="CZ64" s="1004"/>
      <c r="DA64" s="1005"/>
      <c r="DB64" s="1005"/>
      <c r="DC64" s="903"/>
      <c r="DD64" s="253"/>
    </row>
    <row r="65" spans="3:139" ht="16.2" thickBot="1" x14ac:dyDescent="0.35">
      <c r="C65" s="141"/>
      <c r="D65" s="429"/>
      <c r="E65" s="371"/>
      <c r="F65" s="430">
        <v>0.25</v>
      </c>
      <c r="G65" s="432">
        <f>E63*F65</f>
        <v>974386388.93626606</v>
      </c>
      <c r="H65" s="466">
        <v>0.95</v>
      </c>
      <c r="I65" s="432">
        <f>G65*H65</f>
        <v>925667069.48945272</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64"/>
      <c r="CW65" s="106"/>
      <c r="CX65" s="927"/>
      <c r="CY65" s="939" t="s">
        <v>1299</v>
      </c>
      <c r="CZ65" s="1006">
        <f>CZ53</f>
        <v>43980465111.040001</v>
      </c>
      <c r="DA65" s="935">
        <f>CZ65/CZ56</f>
        <v>8.2965223768090041E-2</v>
      </c>
      <c r="DB65" s="898" t="s">
        <v>1311</v>
      </c>
      <c r="DC65" s="905"/>
      <c r="DD65" s="253"/>
    </row>
    <row r="66" spans="3:139"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64"/>
      <c r="CW66" s="106"/>
      <c r="CX66" s="106"/>
      <c r="CY66" s="940" t="s">
        <v>1325</v>
      </c>
      <c r="CZ66" s="930">
        <f>CZ56*DA66</f>
        <v>5301072318.4423809</v>
      </c>
      <c r="DA66" s="931">
        <v>0.01</v>
      </c>
      <c r="DB66" s="898" t="s">
        <v>1315</v>
      </c>
      <c r="DC66" s="905"/>
      <c r="DD66" s="946">
        <v>272</v>
      </c>
      <c r="DE66" s="181" t="s">
        <v>1314</v>
      </c>
    </row>
    <row r="67" spans="3:139" ht="16.2" thickBot="1" x14ac:dyDescent="0.35">
      <c r="C67" s="122"/>
      <c r="D67" s="7"/>
      <c r="E67" s="7"/>
      <c r="F67" s="153">
        <v>0.2</v>
      </c>
      <c r="G67" s="99">
        <f>E63*F67</f>
        <v>779509111.14901292</v>
      </c>
      <c r="H67" s="467">
        <v>0.9</v>
      </c>
      <c r="I67" s="99">
        <f>G67*H67</f>
        <v>701558200.03411162</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64"/>
      <c r="CW67" s="106"/>
      <c r="CX67" s="106"/>
      <c r="CY67" s="940" t="s">
        <v>1307</v>
      </c>
      <c r="CZ67" s="930">
        <f>CZ56*DA67</f>
        <v>26505361592.211906</v>
      </c>
      <c r="DA67" s="931">
        <v>0.05</v>
      </c>
      <c r="DB67" s="898" t="s">
        <v>1323</v>
      </c>
      <c r="DC67" s="905"/>
      <c r="DD67" s="945">
        <v>100</v>
      </c>
      <c r="DE67" s="938">
        <f>DD66*DD67</f>
        <v>27200</v>
      </c>
      <c r="DF67" s="1" t="s">
        <v>1316</v>
      </c>
    </row>
    <row r="68" spans="3:139"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64"/>
      <c r="CW68" s="106"/>
      <c r="CX68" s="251"/>
      <c r="CY68" s="940" t="s">
        <v>1308</v>
      </c>
      <c r="CZ68" s="930">
        <f>CZ56*DA68</f>
        <v>15903216955.327143</v>
      </c>
      <c r="DA68" s="931">
        <v>0.03</v>
      </c>
      <c r="DB68" s="898" t="s">
        <v>1438</v>
      </c>
      <c r="DC68" s="905"/>
      <c r="DD68" s="600"/>
      <c r="DE68" s="1">
        <v>1000</v>
      </c>
      <c r="DF68" s="1" t="s">
        <v>226</v>
      </c>
    </row>
    <row r="69" spans="3:139" ht="16.2" thickBot="1" x14ac:dyDescent="0.35">
      <c r="C69" s="122"/>
      <c r="D69" s="7"/>
      <c r="E69" s="7"/>
      <c r="F69" s="438">
        <v>0.2</v>
      </c>
      <c r="G69" s="446">
        <f>E63*F69</f>
        <v>779509111.14901292</v>
      </c>
      <c r="H69" s="447">
        <v>0.25</v>
      </c>
      <c r="I69" s="446">
        <f>G69*H69</f>
        <v>194877277.78725323</v>
      </c>
      <c r="J69" s="447">
        <v>0</v>
      </c>
      <c r="K69" s="439">
        <f>I69*J69</f>
        <v>0</v>
      </c>
      <c r="Q69" s="240" t="s">
        <v>952</v>
      </c>
      <c r="S69" s="88"/>
      <c r="W69" s="691">
        <f>DC47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8"/>
      <c r="CW69" s="88"/>
      <c r="CX69" s="88"/>
      <c r="CY69" s="940" t="s">
        <v>1317</v>
      </c>
      <c r="CZ69" s="930">
        <f>CZ56*DA69</f>
        <v>15903216955.327143</v>
      </c>
      <c r="DA69" s="931">
        <v>0.03</v>
      </c>
      <c r="DB69" s="898" t="s">
        <v>1356</v>
      </c>
      <c r="DC69" s="905"/>
      <c r="DD69" s="601"/>
      <c r="DE69" s="1">
        <f>DE67*DE68</f>
        <v>27200000</v>
      </c>
      <c r="DF69" s="1" t="s">
        <v>1320</v>
      </c>
    </row>
    <row r="70" spans="3:139" x14ac:dyDescent="0.3">
      <c r="C70" s="122"/>
      <c r="D70" s="7"/>
      <c r="E70" s="7"/>
      <c r="F70" s="142"/>
      <c r="G70" s="371"/>
      <c r="H70" s="142"/>
      <c r="I70" s="434"/>
      <c r="J70" s="142"/>
      <c r="K70" s="434"/>
      <c r="L70" s="240" t="s">
        <v>1367</v>
      </c>
      <c r="O70" s="240" t="s">
        <v>803</v>
      </c>
      <c r="Q70" s="951">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8"/>
      <c r="CW70" s="88"/>
      <c r="CX70" s="88"/>
      <c r="CY70" s="940" t="s">
        <v>1318</v>
      </c>
      <c r="CZ70" s="930">
        <f>CZ56*DA70</f>
        <v>15903216955.327143</v>
      </c>
      <c r="DA70" s="931">
        <v>0.03</v>
      </c>
      <c r="DB70" s="898" t="s">
        <v>1357</v>
      </c>
      <c r="DC70" s="905"/>
      <c r="DD70" s="600"/>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55">
        <f>DA53</f>
        <v>2048</v>
      </c>
      <c r="U71" s="77" t="s">
        <v>804</v>
      </c>
      <c r="V71" s="947"/>
      <c r="W71" s="319">
        <v>0.3</v>
      </c>
      <c r="Y71" s="76" t="s">
        <v>893</v>
      </c>
      <c r="Z71" s="76"/>
      <c r="AA71" s="77" t="s">
        <v>1332</v>
      </c>
      <c r="AB71" s="88"/>
      <c r="AE71" s="958"/>
      <c r="AF71" s="644" t="s">
        <v>986</v>
      </c>
      <c r="AG71" s="958"/>
      <c r="CT71" s="88"/>
      <c r="CU71" s="88"/>
      <c r="CV71" s="958"/>
      <c r="CW71" s="88"/>
      <c r="CX71" s="88"/>
      <c r="CY71" s="940" t="s">
        <v>1319</v>
      </c>
      <c r="CZ71" s="930">
        <f>CZ56*DA71</f>
        <v>15903216955.327143</v>
      </c>
      <c r="DA71" s="931">
        <v>0.03</v>
      </c>
      <c r="DB71" s="898" t="s">
        <v>1358</v>
      </c>
      <c r="DC71" s="905"/>
      <c r="DD71" s="936"/>
    </row>
    <row r="72" spans="3:139" x14ac:dyDescent="0.3">
      <c r="C72" s="158"/>
      <c r="D72" s="10"/>
      <c r="E72" s="10"/>
      <c r="F72" s="10"/>
      <c r="G72" s="159">
        <f>SUM(G53:G71)</f>
        <v>23691049715.283527</v>
      </c>
      <c r="H72" s="160"/>
      <c r="I72" s="172">
        <f>SUM(I53:I71)</f>
        <v>20764420567.905937</v>
      </c>
      <c r="J72" s="158"/>
      <c r="K72" s="481">
        <f>SUM(K53:K71)</f>
        <v>0</v>
      </c>
      <c r="L72" s="482">
        <f>CZ34</f>
        <v>24.034557968875099</v>
      </c>
      <c r="M72" s="480">
        <f>K72*L72</f>
        <v>0</v>
      </c>
      <c r="N72" s="239"/>
      <c r="O72" s="950">
        <f>DA53</f>
        <v>2048</v>
      </c>
      <c r="P72" s="239"/>
      <c r="Q72" s="480">
        <f>M72*O72</f>
        <v>0</v>
      </c>
      <c r="R72" s="239"/>
      <c r="S72" s="956">
        <f>M72*S71</f>
        <v>0</v>
      </c>
      <c r="T72" s="239"/>
      <c r="U72" s="910">
        <f>Q72+S72</f>
        <v>0</v>
      </c>
      <c r="V72" s="949" t="s">
        <v>1330</v>
      </c>
      <c r="W72" s="910">
        <f>W69*W71</f>
        <v>1989164570.4746923</v>
      </c>
      <c r="X72" s="949" t="s">
        <v>1330</v>
      </c>
      <c r="Y72" s="910">
        <f>CZ59+CZ60+CZ61+CZ62+CZ63</f>
        <v>132526807961.05954</v>
      </c>
      <c r="Z72" s="949" t="s">
        <v>1331</v>
      </c>
      <c r="AA72" s="910">
        <f>U72+W72+Y72</f>
        <v>134515972531.53423</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958"/>
      <c r="BP72" s="958"/>
      <c r="BQ72" s="958"/>
      <c r="BR72" s="958"/>
      <c r="BS72" s="958"/>
      <c r="BT72" s="958"/>
      <c r="BU72" s="958"/>
      <c r="BV72" s="958"/>
      <c r="BW72" s="958"/>
      <c r="BX72" s="958"/>
      <c r="BY72" s="958"/>
      <c r="BZ72" s="958"/>
      <c r="CA72" s="958"/>
      <c r="CB72" s="958"/>
      <c r="CC72" s="958"/>
      <c r="CD72" s="958"/>
      <c r="CE72" s="958"/>
      <c r="CF72" s="958"/>
      <c r="CG72" s="958"/>
      <c r="CH72" s="958"/>
      <c r="CI72" s="958"/>
      <c r="CJ72" s="958"/>
      <c r="CK72" s="958"/>
      <c r="CL72" s="958"/>
      <c r="CM72" s="958"/>
      <c r="CN72" s="958"/>
      <c r="CO72" s="958"/>
      <c r="CP72" s="958"/>
      <c r="CQ72" s="958"/>
      <c r="CR72" s="958"/>
      <c r="CS72" s="958"/>
      <c r="CT72" s="958"/>
      <c r="CU72" s="181"/>
      <c r="CV72" s="958"/>
      <c r="CW72" s="88"/>
      <c r="CX72" s="88"/>
      <c r="CY72" s="940" t="s">
        <v>1312</v>
      </c>
      <c r="CZ72" s="930">
        <f>CZ56*DA72</f>
        <v>15903216955.327143</v>
      </c>
      <c r="DA72" s="931">
        <v>0.03</v>
      </c>
      <c r="DB72" s="898" t="s">
        <v>1359</v>
      </c>
      <c r="DC72" s="905"/>
      <c r="DD72" s="812"/>
    </row>
    <row r="73" spans="3:139"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CU73" s="88"/>
      <c r="CV73" s="88"/>
      <c r="CW73" s="88"/>
      <c r="CX73" s="88"/>
      <c r="CY73" s="940" t="s">
        <v>1313</v>
      </c>
      <c r="CZ73" s="930">
        <f>CZ56*DA73</f>
        <v>26505361592.211906</v>
      </c>
      <c r="DA73" s="931">
        <v>0.05</v>
      </c>
      <c r="DB73" s="898" t="s">
        <v>1361</v>
      </c>
      <c r="DC73" s="905"/>
      <c r="DD73" s="255"/>
    </row>
    <row r="74" spans="3:139"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CU74" s="88"/>
      <c r="CV74" s="252"/>
      <c r="CW74" s="252"/>
      <c r="CX74" s="252"/>
      <c r="CY74" s="940" t="s">
        <v>1324</v>
      </c>
      <c r="CZ74" s="930">
        <f>CZ56*DA74</f>
        <v>53010723184.423813</v>
      </c>
      <c r="DA74" s="931">
        <v>0.1</v>
      </c>
      <c r="DB74" s="898" t="s">
        <v>1439</v>
      </c>
      <c r="DC74" s="905"/>
      <c r="DD74" s="255"/>
    </row>
    <row r="75" spans="3:139"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CU75" s="88"/>
      <c r="CV75" s="252"/>
      <c r="CW75" s="88"/>
      <c r="CX75" s="88"/>
      <c r="CY75" s="940" t="s">
        <v>1306</v>
      </c>
      <c r="CZ75" s="930">
        <f>CZ56*DA75</f>
        <v>10602144636.884762</v>
      </c>
      <c r="DA75" s="931">
        <v>0.02</v>
      </c>
      <c r="DB75" s="899" t="s">
        <v>1360</v>
      </c>
      <c r="DC75" s="932"/>
      <c r="DD75" s="255"/>
    </row>
    <row r="76" spans="3:139" x14ac:dyDescent="0.3">
      <c r="R76" s="88"/>
      <c r="S76" s="252"/>
      <c r="T76" s="88"/>
      <c r="U76" s="88"/>
      <c r="V76" s="88"/>
      <c r="W76" s="88"/>
      <c r="X76" s="88"/>
      <c r="Y76" s="88"/>
      <c r="Z76" s="361" t="s">
        <v>1347</v>
      </c>
      <c r="AA76" s="736">
        <f>AA72</f>
        <v>134515972531.53423</v>
      </c>
      <c r="AB76" s="88"/>
      <c r="AD76" s="960">
        <f t="shared" si="30"/>
        <v>2018</v>
      </c>
      <c r="AE76" s="691">
        <f t="shared" si="31"/>
        <v>5717501250</v>
      </c>
      <c r="AF76" s="963">
        <f t="shared" si="28"/>
        <v>2.5000000000000001E-2</v>
      </c>
      <c r="AG76" s="691">
        <f t="shared" si="29"/>
        <v>142937531.25</v>
      </c>
      <c r="CU76" s="88"/>
      <c r="CV76" s="252"/>
      <c r="CW76" s="88"/>
      <c r="CX76" s="88"/>
      <c r="CY76" s="941" t="s">
        <v>1309</v>
      </c>
      <c r="CZ76" s="930">
        <f>CZ56*DA76</f>
        <v>10602144636.884762</v>
      </c>
      <c r="DA76" s="931">
        <v>0.02</v>
      </c>
      <c r="DB76" s="899" t="s">
        <v>1440</v>
      </c>
      <c r="DC76" s="932"/>
      <c r="DD76" s="255"/>
    </row>
    <row r="77" spans="3:139"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CU77" s="88"/>
      <c r="CV77" s="88"/>
      <c r="CW77" s="88"/>
      <c r="CX77" s="88"/>
      <c r="CY77" s="940" t="s">
        <v>1310</v>
      </c>
      <c r="CZ77" s="904">
        <f>CZ56*DA77</f>
        <v>26505361592.211906</v>
      </c>
      <c r="DA77" s="1065">
        <v>0.05</v>
      </c>
      <c r="DB77" s="898" t="s">
        <v>1362</v>
      </c>
      <c r="DC77" s="905"/>
      <c r="DD77" s="255"/>
    </row>
    <row r="78" spans="3:139" x14ac:dyDescent="0.3">
      <c r="R78" s="88"/>
      <c r="S78" s="252"/>
      <c r="T78" s="88"/>
      <c r="U78" s="88"/>
      <c r="V78" s="88"/>
      <c r="W78" s="88"/>
      <c r="X78" s="88"/>
      <c r="Y78" s="88"/>
      <c r="Z78" s="555" t="s">
        <v>1333</v>
      </c>
      <c r="AA78" s="957">
        <f>AA72/W72</f>
        <v>67.624355736153831</v>
      </c>
      <c r="AB78" s="252"/>
      <c r="AD78" s="960">
        <f t="shared" ref="AD78:AD106" si="32">AD77+1</f>
        <v>2020</v>
      </c>
      <c r="AE78" s="691">
        <f t="shared" si="31"/>
        <v>6006949750.78125</v>
      </c>
      <c r="AF78" s="963">
        <f t="shared" si="28"/>
        <v>2.5000000000000001E-2</v>
      </c>
      <c r="AG78" s="691">
        <f t="shared" si="29"/>
        <v>150173743.76953125</v>
      </c>
      <c r="CU78" s="88"/>
      <c r="CV78" s="88"/>
      <c r="CW78" s="88"/>
      <c r="CX78" s="88"/>
      <c r="CY78" s="940" t="s">
        <v>1452</v>
      </c>
      <c r="CZ78" s="904">
        <f>CZ56*DA78</f>
        <v>26505361592.211906</v>
      </c>
      <c r="DA78" s="1065">
        <v>0.05</v>
      </c>
      <c r="DB78" s="898" t="s">
        <v>1450</v>
      </c>
      <c r="DC78" s="905"/>
      <c r="DD78" s="255"/>
    </row>
    <row r="79" spans="3:139"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CU79" s="88"/>
      <c r="CV79" s="88"/>
      <c r="CW79" s="88"/>
      <c r="CX79" s="88"/>
      <c r="CY79" s="940" t="s">
        <v>1454</v>
      </c>
      <c r="CZ79" s="904">
        <f>CZ56*DA79</f>
        <v>26505361592.211906</v>
      </c>
      <c r="DA79" s="1065">
        <v>0.05</v>
      </c>
      <c r="DB79" s="898" t="s">
        <v>1455</v>
      </c>
      <c r="DC79" s="905"/>
      <c r="DD79" s="255"/>
    </row>
    <row r="80" spans="3:139"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CU80" s="88"/>
      <c r="CV80" s="88"/>
      <c r="CW80" s="88"/>
      <c r="CX80" s="88"/>
      <c r="CY80" s="940" t="s">
        <v>1326</v>
      </c>
      <c r="CZ80" s="904">
        <f>CZ56*DA80</f>
        <v>21204289273.769524</v>
      </c>
      <c r="DA80" s="1065">
        <v>0.04</v>
      </c>
      <c r="DB80" s="898" t="s">
        <v>1348</v>
      </c>
      <c r="DC80" s="905"/>
      <c r="DD80" s="251"/>
    </row>
    <row r="81" spans="18:109"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CU81" s="88"/>
      <c r="CV81" s="88"/>
      <c r="CW81" s="88"/>
      <c r="CX81" s="88"/>
      <c r="CY81" s="940" t="s">
        <v>1298</v>
      </c>
      <c r="CZ81" s="930">
        <f>CZ56*DA81</f>
        <v>21204289273.769524</v>
      </c>
      <c r="DA81" s="931">
        <v>0.04</v>
      </c>
      <c r="DB81" s="898" t="s">
        <v>1363</v>
      </c>
      <c r="DC81" s="905"/>
      <c r="DD81" s="251"/>
    </row>
    <row r="82" spans="18:109"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CU82" s="88"/>
      <c r="CV82" s="88"/>
      <c r="CW82" s="88"/>
      <c r="CX82" s="88"/>
      <c r="CY82" s="942"/>
      <c r="CZ82" s="1067"/>
      <c r="DA82" s="1068">
        <f>SUM(DA58:DA81)</f>
        <v>0.97296522376809036</v>
      </c>
      <c r="DB82" s="1069"/>
      <c r="DC82" s="1070"/>
      <c r="DD82" s="251"/>
    </row>
    <row r="83" spans="18:109"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CU83" s="88"/>
      <c r="CV83" s="88"/>
      <c r="CW83" s="88"/>
      <c r="CX83" s="88"/>
      <c r="CY83" s="941" t="s">
        <v>1321</v>
      </c>
      <c r="CZ83" s="904">
        <f>CZ56*DA83</f>
        <v>14331330391.826021</v>
      </c>
      <c r="DA83" s="1065">
        <f>100%-DA82</f>
        <v>2.7034776231909641E-2</v>
      </c>
      <c r="DB83" s="898" t="s">
        <v>148</v>
      </c>
      <c r="DC83" s="905"/>
      <c r="DD83" s="251"/>
    </row>
    <row r="84" spans="18:109"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CU84" s="88"/>
      <c r="CV84" s="88"/>
      <c r="CW84" s="88"/>
      <c r="CX84" s="88"/>
      <c r="CY84" s="943" t="s">
        <v>1322</v>
      </c>
      <c r="CZ84" s="1071">
        <f>SUM(CZ58:CZ83)</f>
        <v>530107231844.23804</v>
      </c>
      <c r="DA84" s="1072">
        <f>DA82+DA83</f>
        <v>1</v>
      </c>
      <c r="DB84" s="1073" t="s">
        <v>59</v>
      </c>
      <c r="DC84" s="1074"/>
      <c r="DD84" s="251"/>
    </row>
    <row r="85" spans="18:109" x14ac:dyDescent="0.3">
      <c r="R85" s="88"/>
      <c r="S85" s="88"/>
      <c r="T85" s="88"/>
      <c r="U85" s="88"/>
      <c r="V85" s="88"/>
      <c r="AD85" s="960">
        <f t="shared" si="32"/>
        <v>2027</v>
      </c>
      <c r="AE85" s="691">
        <f t="shared" si="31"/>
        <v>7140375591.7544937</v>
      </c>
      <c r="AF85" s="963">
        <f t="shared" si="28"/>
        <v>2.5000000000000001E-2</v>
      </c>
      <c r="AG85" s="691">
        <f t="shared" si="29"/>
        <v>178509389.79386234</v>
      </c>
      <c r="CU85" s="88"/>
      <c r="CV85" s="88"/>
      <c r="CW85" s="88"/>
      <c r="CX85" s="88"/>
      <c r="CY85" s="943" t="s">
        <v>1329</v>
      </c>
      <c r="CZ85" s="179">
        <f>CZ59+CZ60+CZ61+CZ62+CZ63</f>
        <v>132526807961.05954</v>
      </c>
      <c r="DA85" s="160"/>
      <c r="DB85" s="160" t="s">
        <v>1364</v>
      </c>
      <c r="DC85" s="303"/>
      <c r="DD85" s="251"/>
    </row>
    <row r="86" spans="18:109" x14ac:dyDescent="0.3">
      <c r="AD86" s="960">
        <f t="shared" si="32"/>
        <v>2028</v>
      </c>
      <c r="AE86" s="691">
        <f t="shared" si="31"/>
        <v>7318884981.5483561</v>
      </c>
      <c r="AF86" s="963">
        <f t="shared" si="28"/>
        <v>2.5000000000000001E-2</v>
      </c>
      <c r="AG86" s="691">
        <f t="shared" si="29"/>
        <v>182972124.53870893</v>
      </c>
      <c r="CU86" s="88"/>
      <c r="CV86" s="88"/>
      <c r="CW86" s="88"/>
      <c r="CX86" s="88"/>
      <c r="CY86" s="364"/>
      <c r="CZ86" s="1075"/>
      <c r="DA86" s="1076"/>
      <c r="DB86" s="1076"/>
      <c r="DC86" s="1077"/>
      <c r="DD86" s="251"/>
    </row>
    <row r="87" spans="18:109" x14ac:dyDescent="0.3">
      <c r="AD87" s="960">
        <f t="shared" si="32"/>
        <v>2029</v>
      </c>
      <c r="AE87" s="691">
        <f t="shared" si="31"/>
        <v>7501857106.0870647</v>
      </c>
      <c r="AF87" s="963">
        <f t="shared" si="28"/>
        <v>2.5000000000000001E-2</v>
      </c>
      <c r="AG87" s="691">
        <f t="shared" si="29"/>
        <v>187546427.65217662</v>
      </c>
      <c r="CU87" s="88"/>
      <c r="CV87" s="88"/>
      <c r="CW87" s="88"/>
      <c r="CX87" s="88"/>
      <c r="CY87" s="1007" t="s">
        <v>1336</v>
      </c>
      <c r="CZ87" s="1066">
        <f>AA72</f>
        <v>134515972531.53423</v>
      </c>
      <c r="DA87" s="251" t="s">
        <v>1335</v>
      </c>
      <c r="DB87" s="251"/>
      <c r="DC87" s="251"/>
      <c r="DD87" s="251"/>
    </row>
    <row r="88" spans="18:109" x14ac:dyDescent="0.3">
      <c r="AD88" s="960">
        <f t="shared" si="32"/>
        <v>2030</v>
      </c>
      <c r="AE88" s="691">
        <f t="shared" si="31"/>
        <v>7689403533.7392416</v>
      </c>
      <c r="AF88" s="963">
        <f t="shared" si="28"/>
        <v>2.5000000000000001E-2</v>
      </c>
      <c r="AG88" s="691">
        <f t="shared" si="29"/>
        <v>192235088.34348106</v>
      </c>
      <c r="CU88" s="88"/>
      <c r="CV88" s="88"/>
      <c r="CW88" s="88"/>
      <c r="CX88" s="88"/>
      <c r="CY88" s="1008" t="s">
        <v>1337</v>
      </c>
      <c r="CZ88" s="1009">
        <f>W72</f>
        <v>1989164570.4746923</v>
      </c>
      <c r="DA88" s="898" t="s">
        <v>1338</v>
      </c>
      <c r="DB88" s="898"/>
      <c r="DC88" s="251"/>
      <c r="DD88" s="251"/>
    </row>
    <row r="89" spans="18:109" x14ac:dyDescent="0.3">
      <c r="AD89" s="960">
        <f t="shared" si="32"/>
        <v>2031</v>
      </c>
      <c r="AE89" s="691">
        <f t="shared" si="31"/>
        <v>7881638622.0827227</v>
      </c>
      <c r="AF89" s="963">
        <f t="shared" si="28"/>
        <v>2.5000000000000001E-2</v>
      </c>
      <c r="AG89" s="691">
        <f t="shared" si="29"/>
        <v>197040965.55206808</v>
      </c>
      <c r="CU89" s="88"/>
      <c r="CV89" s="88"/>
      <c r="CW89" s="88"/>
      <c r="CX89" s="88"/>
      <c r="CY89" s="106"/>
      <c r="CZ89" s="745"/>
      <c r="DA89" s="251"/>
      <c r="DB89" s="251"/>
      <c r="DC89" s="251"/>
      <c r="DD89" s="251"/>
      <c r="DE89" s="252"/>
    </row>
    <row r="90" spans="18:109" x14ac:dyDescent="0.3">
      <c r="AD90" s="960">
        <f t="shared" si="32"/>
        <v>2032</v>
      </c>
      <c r="AE90" s="691">
        <f t="shared" si="31"/>
        <v>8078679587.6347904</v>
      </c>
      <c r="AF90" s="963">
        <f t="shared" si="28"/>
        <v>2.5000000000000001E-2</v>
      </c>
      <c r="AG90" s="691">
        <f t="shared" si="29"/>
        <v>201966989.69086978</v>
      </c>
      <c r="CU90" s="88"/>
      <c r="CV90" s="88"/>
      <c r="CW90" s="88"/>
      <c r="CX90" s="88"/>
      <c r="CZ90" s="999" t="s">
        <v>1355</v>
      </c>
      <c r="DA90" s="252"/>
      <c r="DB90" s="252"/>
      <c r="DC90" s="252"/>
      <c r="DD90" s="252"/>
      <c r="DE90" s="252"/>
    </row>
    <row r="91" spans="18:109" x14ac:dyDescent="0.3">
      <c r="AD91" s="960">
        <f t="shared" si="32"/>
        <v>2033</v>
      </c>
      <c r="AE91" s="691">
        <f t="shared" si="31"/>
        <v>8280646577.3256598</v>
      </c>
      <c r="AF91" s="963">
        <f t="shared" si="28"/>
        <v>2.5000000000000001E-2</v>
      </c>
      <c r="AG91" s="691">
        <f t="shared" si="29"/>
        <v>207016164.4331415</v>
      </c>
      <c r="CU91" s="88"/>
      <c r="CV91" s="88"/>
      <c r="CW91" s="88"/>
      <c r="CX91" s="88"/>
      <c r="DA91" s="252"/>
      <c r="DB91" s="252"/>
      <c r="DC91" s="252"/>
      <c r="DD91" s="252"/>
      <c r="DE91" s="252"/>
    </row>
    <row r="92" spans="18:109" x14ac:dyDescent="0.3">
      <c r="AD92" s="960">
        <f t="shared" si="32"/>
        <v>2034</v>
      </c>
      <c r="AE92" s="691">
        <f t="shared" si="31"/>
        <v>8487662741.7588015</v>
      </c>
      <c r="AF92" s="963">
        <f t="shared" si="28"/>
        <v>2.5000000000000001E-2</v>
      </c>
      <c r="AG92" s="691">
        <f t="shared" si="29"/>
        <v>212191568.54397005</v>
      </c>
      <c r="CU92" s="88"/>
      <c r="CV92" s="88"/>
      <c r="CW92" s="88"/>
      <c r="CX92" s="252"/>
      <c r="DA92" s="252"/>
      <c r="DB92" s="252"/>
      <c r="DC92" s="252"/>
      <c r="DD92" s="252"/>
      <c r="DE92" s="252"/>
    </row>
    <row r="93" spans="18:109" x14ac:dyDescent="0.3">
      <c r="AD93" s="960">
        <f t="shared" si="32"/>
        <v>2035</v>
      </c>
      <c r="AE93" s="691">
        <f t="shared" si="31"/>
        <v>8699854310.3027706</v>
      </c>
      <c r="AF93" s="963">
        <f t="shared" si="28"/>
        <v>2.5000000000000001E-2</v>
      </c>
      <c r="AG93" s="691">
        <f t="shared" si="29"/>
        <v>217496357.75756928</v>
      </c>
      <c r="DA93" s="252"/>
      <c r="DB93" s="252"/>
      <c r="DC93" s="252"/>
      <c r="DD93" s="252"/>
      <c r="DE93" s="252"/>
    </row>
    <row r="94" spans="18:109" x14ac:dyDescent="0.3">
      <c r="AD94" s="960">
        <f t="shared" si="32"/>
        <v>2036</v>
      </c>
      <c r="AE94" s="691">
        <f t="shared" si="31"/>
        <v>8917350668.060339</v>
      </c>
      <c r="AF94" s="963">
        <f t="shared" si="28"/>
        <v>2.5000000000000001E-2</v>
      </c>
      <c r="AG94" s="691">
        <f t="shared" si="29"/>
        <v>222933766.70150849</v>
      </c>
      <c r="DA94" s="252"/>
      <c r="DB94" s="252"/>
      <c r="DC94" s="252"/>
      <c r="DD94" s="252"/>
      <c r="DE94" s="252"/>
    </row>
    <row r="95" spans="18:109" x14ac:dyDescent="0.3">
      <c r="AD95" s="960">
        <f t="shared" si="32"/>
        <v>2037</v>
      </c>
      <c r="AE95" s="691">
        <f t="shared" si="31"/>
        <v>9140284434.7618465</v>
      </c>
      <c r="AF95" s="963">
        <f t="shared" si="28"/>
        <v>2.5000000000000001E-2</v>
      </c>
      <c r="AG95" s="691">
        <f t="shared" si="29"/>
        <v>228507110.86904618</v>
      </c>
      <c r="DA95" s="252"/>
      <c r="DB95" s="252"/>
      <c r="DC95" s="252"/>
      <c r="DD95" s="252"/>
      <c r="DE95" s="252"/>
    </row>
    <row r="96" spans="18:109" x14ac:dyDescent="0.3">
      <c r="AD96" s="960">
        <f t="shared" si="32"/>
        <v>2038</v>
      </c>
      <c r="AE96" s="691">
        <f t="shared" si="31"/>
        <v>9368791545.6308918</v>
      </c>
      <c r="AF96" s="963">
        <f t="shared" si="28"/>
        <v>2.5000000000000001E-2</v>
      </c>
      <c r="AG96" s="691">
        <f t="shared" si="29"/>
        <v>234219788.64077231</v>
      </c>
      <c r="DA96" s="252"/>
      <c r="DB96" s="252"/>
      <c r="DC96" s="252"/>
      <c r="DD96" s="252"/>
      <c r="DE96" s="252"/>
    </row>
    <row r="97" spans="30:109" x14ac:dyDescent="0.3">
      <c r="AD97" s="960">
        <f t="shared" si="32"/>
        <v>2039</v>
      </c>
      <c r="AE97" s="691">
        <f t="shared" si="31"/>
        <v>9603011334.2716637</v>
      </c>
      <c r="AF97" s="963">
        <f t="shared" si="28"/>
        <v>2.5000000000000001E-2</v>
      </c>
      <c r="AG97" s="691">
        <f t="shared" si="29"/>
        <v>240075283.35679162</v>
      </c>
      <c r="DA97" s="252"/>
      <c r="DB97" s="252"/>
      <c r="DC97" s="252"/>
      <c r="DD97" s="252"/>
      <c r="DE97" s="252"/>
    </row>
    <row r="98" spans="30:109" x14ac:dyDescent="0.3">
      <c r="AD98" s="960">
        <f t="shared" si="32"/>
        <v>2040</v>
      </c>
      <c r="AE98" s="691">
        <f t="shared" si="31"/>
        <v>9843086617.6284561</v>
      </c>
      <c r="AF98" s="963">
        <f t="shared" si="28"/>
        <v>2.5000000000000001E-2</v>
      </c>
      <c r="AG98" s="691">
        <f t="shared" si="29"/>
        <v>246077165.44071141</v>
      </c>
    </row>
    <row r="99" spans="30:109" x14ac:dyDescent="0.3">
      <c r="AD99" s="960">
        <f t="shared" si="32"/>
        <v>2041</v>
      </c>
      <c r="AE99" s="691">
        <f t="shared" si="31"/>
        <v>10089163783.069168</v>
      </c>
      <c r="AF99" s="963">
        <f t="shared" si="28"/>
        <v>2.5000000000000001E-2</v>
      </c>
      <c r="AG99" s="691">
        <f t="shared" si="29"/>
        <v>252229094.57672921</v>
      </c>
    </row>
    <row r="100" spans="30:109" x14ac:dyDescent="0.3">
      <c r="AD100" s="960">
        <f t="shared" si="32"/>
        <v>2042</v>
      </c>
      <c r="AE100" s="691">
        <f t="shared" si="31"/>
        <v>10341392877.645897</v>
      </c>
      <c r="AF100" s="963">
        <f t="shared" si="28"/>
        <v>2.5000000000000001E-2</v>
      </c>
      <c r="AG100" s="691">
        <f t="shared" si="29"/>
        <v>258534821.94114745</v>
      </c>
    </row>
    <row r="101" spans="30:109" x14ac:dyDescent="0.3">
      <c r="AD101" s="960">
        <f t="shared" si="32"/>
        <v>2043</v>
      </c>
      <c r="AE101" s="691">
        <f t="shared" si="31"/>
        <v>10599927699.587044</v>
      </c>
      <c r="AF101" s="963">
        <f t="shared" si="28"/>
        <v>2.5000000000000001E-2</v>
      </c>
      <c r="AG101" s="691">
        <f t="shared" si="29"/>
        <v>264998192.48967612</v>
      </c>
    </row>
    <row r="102" spans="30:109" x14ac:dyDescent="0.3">
      <c r="AD102" s="960">
        <f t="shared" si="32"/>
        <v>2044</v>
      </c>
      <c r="AE102" s="691">
        <f t="shared" si="31"/>
        <v>10864925892.076719</v>
      </c>
      <c r="AF102" s="963">
        <f t="shared" si="28"/>
        <v>2.5000000000000001E-2</v>
      </c>
      <c r="AG102" s="691">
        <f t="shared" si="29"/>
        <v>271623147.30191797</v>
      </c>
    </row>
    <row r="103" spans="30:109" x14ac:dyDescent="0.3">
      <c r="AD103" s="960">
        <f t="shared" si="32"/>
        <v>2045</v>
      </c>
      <c r="AE103" s="691">
        <f t="shared" si="31"/>
        <v>11136549039.378637</v>
      </c>
      <c r="AF103" s="963">
        <f t="shared" si="28"/>
        <v>2.5000000000000001E-2</v>
      </c>
      <c r="AG103" s="691">
        <f t="shared" si="29"/>
        <v>278413725.98446596</v>
      </c>
    </row>
    <row r="104" spans="30:109" x14ac:dyDescent="0.3">
      <c r="AD104" s="960">
        <f t="shared" si="32"/>
        <v>2046</v>
      </c>
      <c r="AE104" s="691">
        <f t="shared" si="31"/>
        <v>11414962765.363104</v>
      </c>
      <c r="AF104" s="963">
        <f t="shared" si="28"/>
        <v>2.5000000000000001E-2</v>
      </c>
      <c r="AG104" s="691">
        <f t="shared" si="29"/>
        <v>285374069.13407761</v>
      </c>
    </row>
    <row r="105" spans="30:109" x14ac:dyDescent="0.3">
      <c r="AD105" s="960">
        <f t="shared" si="32"/>
        <v>2047</v>
      </c>
      <c r="AE105" s="691">
        <f t="shared" si="31"/>
        <v>11700336834.497181</v>
      </c>
      <c r="AF105" s="963">
        <f t="shared" si="28"/>
        <v>2.5000000000000001E-2</v>
      </c>
      <c r="AG105" s="691">
        <f t="shared" si="29"/>
        <v>292508420.86242956</v>
      </c>
    </row>
    <row r="106" spans="30:109"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1D0B-005D-4E86-BF00-F100FEBB5B25}">
  <dimension ref="A2:EK106"/>
  <sheetViews>
    <sheetView showGridLines="0" topLeftCell="CW17" workbookViewId="0">
      <selection activeCell="CZ52" sqref="CZ52"/>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2.109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90"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DS2" s="916"/>
      <c r="DW2" s="916"/>
      <c r="EH2" s="917"/>
      <c r="EI2" s="916"/>
    </row>
    <row r="3" spans="1:139" ht="25.95" customHeight="1" x14ac:dyDescent="0.5">
      <c r="C3" s="570" t="s">
        <v>1446</v>
      </c>
      <c r="F3" s="1081"/>
      <c r="G3" s="648"/>
      <c r="CZ3" s="999" t="s">
        <v>1355</v>
      </c>
    </row>
    <row r="4" spans="1:139"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c r="BT4" s="7"/>
      <c r="BU4" s="632" t="s">
        <v>970</v>
      </c>
      <c r="BV4" s="7"/>
      <c r="BW4" s="7"/>
      <c r="BX4" s="7"/>
      <c r="BY4" s="632" t="s">
        <v>970</v>
      </c>
      <c r="BZ4" s="7"/>
      <c r="CA4" s="7"/>
      <c r="CB4" s="7"/>
      <c r="CC4" s="632" t="s">
        <v>970</v>
      </c>
      <c r="CD4" s="7"/>
      <c r="CE4" s="7"/>
      <c r="CF4" s="7"/>
      <c r="CG4" s="632" t="s">
        <v>970</v>
      </c>
      <c r="CH4" s="7"/>
      <c r="CI4" s="7"/>
      <c r="CJ4" s="7"/>
      <c r="CK4" s="632" t="s">
        <v>970</v>
      </c>
      <c r="CL4" s="7"/>
      <c r="CM4" s="7"/>
      <c r="CN4" s="7"/>
      <c r="CO4" s="632" t="s">
        <v>970</v>
      </c>
      <c r="CP4" s="7"/>
      <c r="CQ4" s="7"/>
      <c r="CR4" s="7"/>
      <c r="CS4" s="632" t="s">
        <v>970</v>
      </c>
      <c r="CT4" s="7"/>
      <c r="CU4" s="7"/>
      <c r="CV4" s="7"/>
      <c r="CW4" s="632" t="s">
        <v>970</v>
      </c>
      <c r="CX4" s="7"/>
      <c r="CY4" s="7"/>
    </row>
    <row r="5" spans="1:139" ht="18.600000000000001" x14ac:dyDescent="0.45">
      <c r="C5" s="37" t="s">
        <v>972</v>
      </c>
      <c r="D5" s="619"/>
      <c r="E5" s="408">
        <f>E11</f>
        <v>15025737600.067259</v>
      </c>
      <c r="F5" s="1082">
        <v>1</v>
      </c>
      <c r="G5" s="408">
        <f>E5*F5</f>
        <v>15025737600.067259</v>
      </c>
      <c r="H5" s="409">
        <v>1</v>
      </c>
      <c r="I5" s="408">
        <f>G5*H5</f>
        <v>15025737600.067259</v>
      </c>
      <c r="J5" s="409">
        <v>1</v>
      </c>
      <c r="K5" s="408">
        <f>I5*J5</f>
        <v>15025737600.067259</v>
      </c>
      <c r="L5" s="409">
        <f>H5</f>
        <v>1</v>
      </c>
      <c r="M5" s="408">
        <f>K5*L5</f>
        <v>15025737600.067259</v>
      </c>
      <c r="N5" s="409">
        <f>J5</f>
        <v>1</v>
      </c>
      <c r="O5" s="408">
        <f>M5*N5</f>
        <v>15025737600.067259</v>
      </c>
      <c r="P5" s="409">
        <f>L5</f>
        <v>1</v>
      </c>
      <c r="Q5" s="408">
        <f>O5*P5</f>
        <v>15025737600.067259</v>
      </c>
      <c r="R5" s="409">
        <f>N5</f>
        <v>1</v>
      </c>
      <c r="S5" s="408">
        <f>Q5*R5</f>
        <v>15025737600.067259</v>
      </c>
      <c r="T5" s="409">
        <f>P5</f>
        <v>1</v>
      </c>
      <c r="U5" s="408">
        <f>S5*T5</f>
        <v>15025737600.067259</v>
      </c>
      <c r="V5" s="409">
        <f>R5</f>
        <v>1</v>
      </c>
      <c r="W5" s="408">
        <f>U5*V5</f>
        <v>15025737600.067259</v>
      </c>
      <c r="X5" s="409">
        <f>T5</f>
        <v>1</v>
      </c>
      <c r="Y5" s="408">
        <f>W5*X5</f>
        <v>15025737600.067259</v>
      </c>
      <c r="Z5" s="409">
        <f>V5</f>
        <v>1</v>
      </c>
      <c r="AA5" s="408">
        <f>Y5*Z5</f>
        <v>15025737600.067259</v>
      </c>
      <c r="AB5" s="409">
        <f>X5</f>
        <v>1</v>
      </c>
      <c r="AC5" s="408">
        <f>AA5*AB5</f>
        <v>15025737600.067259</v>
      </c>
      <c r="AD5" s="409">
        <f>Z5</f>
        <v>1</v>
      </c>
      <c r="AE5" s="408">
        <f>AC5*AD5</f>
        <v>15025737600.067259</v>
      </c>
      <c r="AF5" s="409">
        <f>AB5</f>
        <v>1</v>
      </c>
      <c r="AG5" s="408">
        <f>AE5*AF5</f>
        <v>15025737600.067259</v>
      </c>
      <c r="AH5" s="409">
        <f>AD5</f>
        <v>1</v>
      </c>
      <c r="AI5" s="408">
        <f>AG5*AH5</f>
        <v>15025737600.067259</v>
      </c>
      <c r="AJ5" s="409">
        <f>AF5</f>
        <v>1</v>
      </c>
      <c r="AK5" s="408">
        <f>AI5*AJ5</f>
        <v>15025737600.067259</v>
      </c>
      <c r="AL5" s="409">
        <f>AH5</f>
        <v>1</v>
      </c>
      <c r="AM5" s="408">
        <f>AK5*AL5</f>
        <v>15025737600.067259</v>
      </c>
      <c r="AN5" s="409">
        <f>AJ5</f>
        <v>1</v>
      </c>
      <c r="AO5" s="408">
        <f>AM5*AN5</f>
        <v>15025737600.067259</v>
      </c>
      <c r="AP5" s="409">
        <f>AL5</f>
        <v>1</v>
      </c>
      <c r="AQ5" s="408">
        <f>AO5*AP5</f>
        <v>15025737600.067259</v>
      </c>
      <c r="AR5" s="409">
        <f>AN5</f>
        <v>1</v>
      </c>
      <c r="AS5" s="408">
        <f>AQ5*AR5</f>
        <v>15025737600.067259</v>
      </c>
      <c r="AT5" s="409">
        <f>AP5</f>
        <v>1</v>
      </c>
      <c r="AU5" s="408">
        <f>AS5*AT5</f>
        <v>15025737600.067259</v>
      </c>
      <c r="AV5" s="409">
        <f>AR5</f>
        <v>1</v>
      </c>
      <c r="AW5" s="408">
        <f>AU5*AV5</f>
        <v>15025737600.067259</v>
      </c>
      <c r="AX5" s="409">
        <f>AT5</f>
        <v>1</v>
      </c>
      <c r="AY5" s="408">
        <f>AW5*AX5</f>
        <v>15025737600.067259</v>
      </c>
      <c r="AZ5" s="409">
        <f>AV5</f>
        <v>1</v>
      </c>
      <c r="BA5" s="408">
        <f>AY5*AZ5</f>
        <v>15025737600.067259</v>
      </c>
      <c r="BB5" s="409">
        <f>AX5</f>
        <v>1</v>
      </c>
      <c r="BC5" s="408">
        <f>BA5*BB5</f>
        <v>15025737600.067259</v>
      </c>
      <c r="BD5" s="409">
        <f>AR5</f>
        <v>1</v>
      </c>
      <c r="BE5" s="408">
        <f>BC5*BD5</f>
        <v>15025737600.067259</v>
      </c>
      <c r="BF5" s="409">
        <f>AT5</f>
        <v>1</v>
      </c>
      <c r="BG5" s="408">
        <f>BE5*BF5</f>
        <v>15025737600.067259</v>
      </c>
      <c r="BH5" s="409">
        <f>BD5</f>
        <v>1</v>
      </c>
      <c r="BI5" s="408">
        <f>BG5*BH5</f>
        <v>15025737600.067259</v>
      </c>
      <c r="BJ5" s="409">
        <f>BF5</f>
        <v>1</v>
      </c>
      <c r="BK5" s="408">
        <f>BI5*BJ5</f>
        <v>15025737600.067259</v>
      </c>
      <c r="BL5" s="409">
        <f>BH5</f>
        <v>1</v>
      </c>
      <c r="BM5" s="408">
        <f>BK5*BL5</f>
        <v>15025737600.067259</v>
      </c>
      <c r="BN5" s="409">
        <f>BJ5</f>
        <v>1</v>
      </c>
      <c r="BO5" s="408">
        <f>BM5*BN5</f>
        <v>15025737600.067259</v>
      </c>
      <c r="BP5" s="409">
        <f>BL5</f>
        <v>1</v>
      </c>
      <c r="BQ5" s="408">
        <f>BO5*BP5</f>
        <v>15025737600.067259</v>
      </c>
      <c r="BR5" s="409">
        <f>BN5</f>
        <v>1</v>
      </c>
      <c r="BS5" s="408">
        <f>BQ5*BR5</f>
        <v>15025737600.067259</v>
      </c>
      <c r="BT5" s="409">
        <f>BP5</f>
        <v>1</v>
      </c>
      <c r="BU5" s="408">
        <f>BS5*BT5</f>
        <v>15025737600.067259</v>
      </c>
      <c r="BV5" s="409">
        <f>BR5</f>
        <v>1</v>
      </c>
      <c r="BW5" s="408">
        <f>BU5*BV5</f>
        <v>15025737600.067259</v>
      </c>
      <c r="BX5" s="409">
        <f>BT5</f>
        <v>1</v>
      </c>
      <c r="BY5" s="408">
        <f>BW5*BX5</f>
        <v>15025737600.067259</v>
      </c>
      <c r="BZ5" s="409">
        <f>BV5</f>
        <v>1</v>
      </c>
      <c r="CA5" s="408">
        <f>BY5*BZ5</f>
        <v>15025737600.067259</v>
      </c>
      <c r="CB5" s="409">
        <f>BX5</f>
        <v>1</v>
      </c>
      <c r="CC5" s="408">
        <f>CA5*CB5</f>
        <v>15025737600.067259</v>
      </c>
      <c r="CD5" s="409">
        <f>BZ5</f>
        <v>1</v>
      </c>
      <c r="CE5" s="408">
        <f>CC5*CD5</f>
        <v>15025737600.067259</v>
      </c>
      <c r="CF5" s="409">
        <f>CB5</f>
        <v>1</v>
      </c>
      <c r="CG5" s="408">
        <f>CE5*CF5</f>
        <v>15025737600.067259</v>
      </c>
      <c r="CH5" s="409">
        <f>CD5</f>
        <v>1</v>
      </c>
      <c r="CI5" s="408">
        <f>CG5*CH5</f>
        <v>15025737600.067259</v>
      </c>
      <c r="CJ5" s="409">
        <f>BX5</f>
        <v>1</v>
      </c>
      <c r="CK5" s="408">
        <f>CI5*CJ5</f>
        <v>15025737600.067259</v>
      </c>
      <c r="CL5" s="409">
        <f>BZ5</f>
        <v>1</v>
      </c>
      <c r="CM5" s="408">
        <f>CK5*CL5</f>
        <v>15025737600.067259</v>
      </c>
      <c r="CN5" s="409">
        <f>CJ5</f>
        <v>1</v>
      </c>
      <c r="CO5" s="408">
        <f>CM5*CN5</f>
        <v>15025737600.067259</v>
      </c>
      <c r="CP5" s="409">
        <f>CL5</f>
        <v>1</v>
      </c>
      <c r="CQ5" s="408">
        <f>CO5*CP5</f>
        <v>15025737600.067259</v>
      </c>
      <c r="CR5" s="409">
        <f>AB5</f>
        <v>1</v>
      </c>
      <c r="CS5" s="408">
        <f>CQ5*CR5</f>
        <v>15025737600.067259</v>
      </c>
      <c r="CT5" s="409">
        <f>AD5</f>
        <v>1</v>
      </c>
      <c r="CU5" s="408">
        <f>CS5*CT5</f>
        <v>15025737600.067259</v>
      </c>
      <c r="CV5" s="409">
        <f>CR5</f>
        <v>1</v>
      </c>
      <c r="CW5" s="408">
        <f>CU5*CV5</f>
        <v>15025737600.067259</v>
      </c>
      <c r="CX5" s="409">
        <f>CT5</f>
        <v>1</v>
      </c>
      <c r="CY5" s="408">
        <f>CW5*CX5</f>
        <v>15025737600.067259</v>
      </c>
      <c r="CZ5" s="719">
        <f>G5+I5+M5+Q5+U5+Y5+AC5+AG5+AK5+AO5+AS5+AW5+BA5+BE5+BI5+BM5+BQ5+BU5+BY5+CC5+CG5+CK5+CO5+CS5+CW5</f>
        <v>375643440001.68146</v>
      </c>
      <c r="DB5" s="621">
        <f>CV5</f>
        <v>1</v>
      </c>
      <c r="DC5" s="622">
        <f>CY5*DB5</f>
        <v>15025737600.067259</v>
      </c>
      <c r="DD5" s="626"/>
      <c r="DE5" s="626"/>
      <c r="DF5" s="627"/>
    </row>
    <row r="6" spans="1:139" x14ac:dyDescent="0.3">
      <c r="F6" s="1081"/>
      <c r="CZ6" s="93"/>
      <c r="DF6" s="628"/>
    </row>
    <row r="7" spans="1:139"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1221" t="s">
        <v>749</v>
      </c>
      <c r="BM7" s="1222" t="s">
        <v>1463</v>
      </c>
      <c r="BN7" s="1223" t="s">
        <v>297</v>
      </c>
      <c r="BO7" s="1222" t="s">
        <v>59</v>
      </c>
      <c r="BP7" s="1217" t="s">
        <v>749</v>
      </c>
      <c r="BQ7" s="925" t="s">
        <v>1464</v>
      </c>
      <c r="BR7" s="1162" t="s">
        <v>297</v>
      </c>
      <c r="BS7" s="925" t="s">
        <v>59</v>
      </c>
      <c r="BT7" s="1221" t="s">
        <v>749</v>
      </c>
      <c r="BU7" s="1222" t="s">
        <v>1469</v>
      </c>
      <c r="BV7" s="1223" t="s">
        <v>297</v>
      </c>
      <c r="BW7" s="1222" t="s">
        <v>59</v>
      </c>
      <c r="BX7" s="1217" t="s">
        <v>749</v>
      </c>
      <c r="BY7" s="925" t="s">
        <v>1470</v>
      </c>
      <c r="BZ7" s="1162" t="s">
        <v>297</v>
      </c>
      <c r="CA7" s="925" t="s">
        <v>59</v>
      </c>
      <c r="CB7" s="1221" t="s">
        <v>749</v>
      </c>
      <c r="CC7" s="1222" t="s">
        <v>1471</v>
      </c>
      <c r="CD7" s="1223" t="s">
        <v>297</v>
      </c>
      <c r="CE7" s="1222" t="s">
        <v>59</v>
      </c>
      <c r="CF7" s="1217" t="s">
        <v>749</v>
      </c>
      <c r="CG7" s="925" t="s">
        <v>1472</v>
      </c>
      <c r="CH7" s="1162" t="s">
        <v>297</v>
      </c>
      <c r="CI7" s="925" t="s">
        <v>59</v>
      </c>
      <c r="CJ7" s="1221" t="s">
        <v>749</v>
      </c>
      <c r="CK7" s="1222" t="s">
        <v>1473</v>
      </c>
      <c r="CL7" s="1223" t="s">
        <v>297</v>
      </c>
      <c r="CM7" s="1222" t="s">
        <v>59</v>
      </c>
      <c r="CN7" s="1217" t="s">
        <v>749</v>
      </c>
      <c r="CO7" s="925" t="s">
        <v>1474</v>
      </c>
      <c r="CP7" s="1162" t="s">
        <v>297</v>
      </c>
      <c r="CQ7" s="925" t="s">
        <v>59</v>
      </c>
      <c r="CR7" s="462" t="s">
        <v>749</v>
      </c>
      <c r="CS7" s="170" t="s">
        <v>1475</v>
      </c>
      <c r="CT7" s="175" t="s">
        <v>297</v>
      </c>
      <c r="CU7" s="170" t="s">
        <v>59</v>
      </c>
      <c r="CV7" s="301" t="s">
        <v>749</v>
      </c>
      <c r="CW7" s="121" t="s">
        <v>1476</v>
      </c>
      <c r="CX7" s="173" t="s">
        <v>297</v>
      </c>
      <c r="CY7" s="121" t="s">
        <v>59</v>
      </c>
      <c r="CZ7" s="121"/>
      <c r="DB7" s="588" t="s">
        <v>1367</v>
      </c>
      <c r="DC7" s="121" t="s">
        <v>1477</v>
      </c>
      <c r="DF7" s="628"/>
    </row>
    <row r="8" spans="1:139" x14ac:dyDescent="0.3">
      <c r="B8" s="584"/>
      <c r="C8" s="7"/>
      <c r="E8" s="875">
        <f>CZ47</f>
        <v>30051475200.134518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1224" t="s">
        <v>1371</v>
      </c>
      <c r="BM8" s="1225"/>
      <c r="BN8" s="1226"/>
      <c r="BO8" s="1225"/>
      <c r="BP8" s="1218" t="s">
        <v>1371</v>
      </c>
      <c r="BQ8" s="1219"/>
      <c r="BR8" s="1220"/>
      <c r="BS8" s="1219"/>
      <c r="BT8" s="1224" t="s">
        <v>1371</v>
      </c>
      <c r="BU8" s="1225"/>
      <c r="BV8" s="1226"/>
      <c r="BW8" s="1225"/>
      <c r="BX8" s="1218" t="s">
        <v>1371</v>
      </c>
      <c r="BY8" s="1219"/>
      <c r="BZ8" s="1220"/>
      <c r="CA8" s="1219"/>
      <c r="CB8" s="1224" t="s">
        <v>1371</v>
      </c>
      <c r="CC8" s="1225"/>
      <c r="CD8" s="1226"/>
      <c r="CE8" s="1225"/>
      <c r="CF8" s="1218" t="s">
        <v>1371</v>
      </c>
      <c r="CG8" s="1219"/>
      <c r="CH8" s="1220"/>
      <c r="CI8" s="1219"/>
      <c r="CJ8" s="1224" t="s">
        <v>1371</v>
      </c>
      <c r="CK8" s="1225"/>
      <c r="CL8" s="1226"/>
      <c r="CM8" s="1225"/>
      <c r="CN8" s="1218" t="s">
        <v>1371</v>
      </c>
      <c r="CO8" s="1219"/>
      <c r="CP8" s="1220"/>
      <c r="CQ8" s="1219"/>
      <c r="CR8" s="586" t="s">
        <v>1371</v>
      </c>
      <c r="CS8" s="470"/>
      <c r="CT8" s="471"/>
      <c r="CU8" s="470"/>
      <c r="CV8" s="587" t="s">
        <v>1371</v>
      </c>
      <c r="CW8" s="303"/>
      <c r="CX8" s="179"/>
      <c r="CY8" s="303"/>
      <c r="CZ8" s="126"/>
      <c r="DB8" s="589" t="s">
        <v>1371</v>
      </c>
      <c r="DC8" s="303"/>
      <c r="DF8" s="628"/>
    </row>
    <row r="9" spans="1:139"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7"/>
      <c r="BQ9" s="459" t="s">
        <v>282</v>
      </c>
      <c r="BR9" s="122"/>
      <c r="BS9" s="8"/>
      <c r="BT9" s="7"/>
      <c r="BU9" s="459" t="s">
        <v>282</v>
      </c>
      <c r="BV9" s="122"/>
      <c r="BW9" s="8"/>
      <c r="BX9" s="7"/>
      <c r="BY9" s="459" t="s">
        <v>282</v>
      </c>
      <c r="BZ9" s="122"/>
      <c r="CA9" s="8"/>
      <c r="CB9" s="7"/>
      <c r="CC9" s="459" t="s">
        <v>282</v>
      </c>
      <c r="CD9" s="122"/>
      <c r="CE9" s="8"/>
      <c r="CF9" s="7"/>
      <c r="CG9" s="459" t="s">
        <v>282</v>
      </c>
      <c r="CH9" s="122"/>
      <c r="CI9" s="8"/>
      <c r="CJ9" s="7"/>
      <c r="CK9" s="459" t="s">
        <v>282</v>
      </c>
      <c r="CL9" s="122"/>
      <c r="CM9" s="8"/>
      <c r="CN9" s="7"/>
      <c r="CO9" s="459" t="s">
        <v>282</v>
      </c>
      <c r="CP9" s="122"/>
      <c r="CQ9" s="8"/>
      <c r="CR9" s="7"/>
      <c r="CS9" s="459" t="s">
        <v>282</v>
      </c>
      <c r="CT9" s="122"/>
      <c r="CU9" s="8"/>
      <c r="CV9" s="122"/>
      <c r="CW9" s="459" t="s">
        <v>282</v>
      </c>
      <c r="CX9" s="122"/>
      <c r="CY9" s="8"/>
      <c r="CZ9" s="126"/>
      <c r="DB9" s="122"/>
      <c r="DC9" s="459" t="s">
        <v>282</v>
      </c>
      <c r="DF9" s="628"/>
    </row>
    <row r="10" spans="1:139" ht="16.2" thickBot="1" x14ac:dyDescent="0.35">
      <c r="B10" s="585"/>
      <c r="C10" s="1211"/>
      <c r="D10" s="630" t="s">
        <v>953</v>
      </c>
      <c r="E10" s="994">
        <f>DA53</f>
        <v>2048</v>
      </c>
      <c r="F10" s="1085">
        <v>0.25</v>
      </c>
      <c r="G10" s="130">
        <f>E14*F10</f>
        <v>417540447.66153353</v>
      </c>
      <c r="H10" s="460">
        <v>1</v>
      </c>
      <c r="I10" s="130">
        <f>G10*H10</f>
        <v>417540447.66153353</v>
      </c>
      <c r="J10" s="460">
        <v>1</v>
      </c>
      <c r="K10" s="458">
        <f>I10*J10</f>
        <v>417540447.66153353</v>
      </c>
      <c r="L10" s="129">
        <f>H10</f>
        <v>1</v>
      </c>
      <c r="M10" s="458">
        <f>K10*L10</f>
        <v>417540447.66153353</v>
      </c>
      <c r="N10" s="129">
        <f>J10</f>
        <v>1</v>
      </c>
      <c r="O10" s="458">
        <f>M10*N10</f>
        <v>417540447.66153353</v>
      </c>
      <c r="P10" s="129">
        <f>L10</f>
        <v>1</v>
      </c>
      <c r="Q10" s="458">
        <f>O10*P10</f>
        <v>417540447.66153353</v>
      </c>
      <c r="R10" s="129">
        <f>N10</f>
        <v>1</v>
      </c>
      <c r="S10" s="458">
        <f>Q10*R10</f>
        <v>417540447.66153353</v>
      </c>
      <c r="T10" s="129">
        <f>P10</f>
        <v>1</v>
      </c>
      <c r="U10" s="458">
        <f>S10*T10</f>
        <v>417540447.66153353</v>
      </c>
      <c r="V10" s="129">
        <f>R10</f>
        <v>1</v>
      </c>
      <c r="W10" s="458">
        <f>U10*V10</f>
        <v>417540447.66153353</v>
      </c>
      <c r="X10" s="129">
        <f>T10</f>
        <v>1</v>
      </c>
      <c r="Y10" s="458">
        <f>W10*X10</f>
        <v>417540447.66153353</v>
      </c>
      <c r="Z10" s="129">
        <f>V10</f>
        <v>1</v>
      </c>
      <c r="AA10" s="458">
        <f>Y10*Z10</f>
        <v>417540447.66153353</v>
      </c>
      <c r="AB10" s="129">
        <f>X10</f>
        <v>1</v>
      </c>
      <c r="AC10" s="458">
        <f>AA10*AB10</f>
        <v>417540447.66153353</v>
      </c>
      <c r="AD10" s="129">
        <f>Z10</f>
        <v>1</v>
      </c>
      <c r="AE10" s="458">
        <f>AC10*AD10</f>
        <v>417540447.66153353</v>
      </c>
      <c r="AF10" s="129">
        <f>AB10</f>
        <v>1</v>
      </c>
      <c r="AG10" s="458">
        <f>AE10*AF10</f>
        <v>417540447.66153353</v>
      </c>
      <c r="AH10" s="129">
        <f>AD10</f>
        <v>1</v>
      </c>
      <c r="AI10" s="458">
        <f>AG10*AH10</f>
        <v>417540447.66153353</v>
      </c>
      <c r="AJ10" s="129">
        <f>AF10</f>
        <v>1</v>
      </c>
      <c r="AK10" s="458">
        <f>AI10*AJ10</f>
        <v>417540447.66153353</v>
      </c>
      <c r="AL10" s="129">
        <f>AH10</f>
        <v>1</v>
      </c>
      <c r="AM10" s="458">
        <f>AK10*AL10</f>
        <v>417540447.66153353</v>
      </c>
      <c r="AN10" s="129">
        <f>AJ10</f>
        <v>1</v>
      </c>
      <c r="AO10" s="458">
        <f>AM10*AN10</f>
        <v>417540447.66153353</v>
      </c>
      <c r="AP10" s="129">
        <f>AL10</f>
        <v>1</v>
      </c>
      <c r="AQ10" s="458">
        <f>AO10*AP10</f>
        <v>417540447.66153353</v>
      </c>
      <c r="AR10" s="129">
        <f>AN10</f>
        <v>1</v>
      </c>
      <c r="AS10" s="458">
        <f>AQ10*AR10</f>
        <v>417540447.66153353</v>
      </c>
      <c r="AT10" s="129">
        <f>AP10</f>
        <v>1</v>
      </c>
      <c r="AU10" s="458">
        <f>AS10*AT10</f>
        <v>417540447.66153353</v>
      </c>
      <c r="AV10" s="129">
        <f>AR10</f>
        <v>1</v>
      </c>
      <c r="AW10" s="458">
        <f>AU10*AV10</f>
        <v>417540447.66153353</v>
      </c>
      <c r="AX10" s="129">
        <f>AT10</f>
        <v>1</v>
      </c>
      <c r="AY10" s="458">
        <f>AW10*AX10</f>
        <v>417540447.66153353</v>
      </c>
      <c r="AZ10" s="129">
        <f>AV10</f>
        <v>1</v>
      </c>
      <c r="BA10" s="458">
        <f>AY10*AZ10</f>
        <v>417540447.66153353</v>
      </c>
      <c r="BB10" s="129">
        <f>AX10</f>
        <v>1</v>
      </c>
      <c r="BC10" s="458">
        <f>BA10*BB10</f>
        <v>417540447.66153353</v>
      </c>
      <c r="BD10" s="129">
        <f>AR10</f>
        <v>1</v>
      </c>
      <c r="BE10" s="458">
        <f>BC10*BD10</f>
        <v>417540447.66153353</v>
      </c>
      <c r="BF10" s="129">
        <f>AT10</f>
        <v>1</v>
      </c>
      <c r="BG10" s="458">
        <f>BE10*BF10</f>
        <v>417540447.66153353</v>
      </c>
      <c r="BH10" s="129">
        <f>BD10</f>
        <v>1</v>
      </c>
      <c r="BI10" s="458">
        <f>BG10*BH10</f>
        <v>417540447.66153353</v>
      </c>
      <c r="BJ10" s="129">
        <f>BF10</f>
        <v>1</v>
      </c>
      <c r="BK10" s="458">
        <f>BI10*BJ10</f>
        <v>417540447.66153353</v>
      </c>
      <c r="BL10" s="129">
        <f>BH10</f>
        <v>1</v>
      </c>
      <c r="BM10" s="458">
        <f>BK10*BL10</f>
        <v>417540447.66153353</v>
      </c>
      <c r="BN10" s="129">
        <f>BJ10</f>
        <v>1</v>
      </c>
      <c r="BO10" s="458">
        <f>BM10*BN10</f>
        <v>417540447.66153353</v>
      </c>
      <c r="BP10" s="129">
        <f>BL10</f>
        <v>1</v>
      </c>
      <c r="BQ10" s="458">
        <f>BO10*BP10</f>
        <v>417540447.66153353</v>
      </c>
      <c r="BR10" s="129">
        <f>BN10</f>
        <v>1</v>
      </c>
      <c r="BS10" s="458">
        <f>BQ10*BR10</f>
        <v>417540447.66153353</v>
      </c>
      <c r="BT10" s="129">
        <f>BP10</f>
        <v>1</v>
      </c>
      <c r="BU10" s="458">
        <f>BS10*BT10</f>
        <v>417540447.66153353</v>
      </c>
      <c r="BV10" s="129">
        <f>BR10</f>
        <v>1</v>
      </c>
      <c r="BW10" s="458">
        <f>BU10*BV10</f>
        <v>417540447.66153353</v>
      </c>
      <c r="BX10" s="129">
        <f>BT10</f>
        <v>1</v>
      </c>
      <c r="BY10" s="458">
        <f>BW10*BX10</f>
        <v>417540447.66153353</v>
      </c>
      <c r="BZ10" s="129">
        <f>BV10</f>
        <v>1</v>
      </c>
      <c r="CA10" s="458">
        <f>BY10*BZ10</f>
        <v>417540447.66153353</v>
      </c>
      <c r="CB10" s="129">
        <f>BX10</f>
        <v>1</v>
      </c>
      <c r="CC10" s="458">
        <f>CA10*CB10</f>
        <v>417540447.66153353</v>
      </c>
      <c r="CD10" s="129">
        <f>BZ10</f>
        <v>1</v>
      </c>
      <c r="CE10" s="458">
        <f>CC10*CD10</f>
        <v>417540447.66153353</v>
      </c>
      <c r="CF10" s="129">
        <f>CB10</f>
        <v>1</v>
      </c>
      <c r="CG10" s="458">
        <f>CE10*CF10</f>
        <v>417540447.66153353</v>
      </c>
      <c r="CH10" s="129">
        <f>CD10</f>
        <v>1</v>
      </c>
      <c r="CI10" s="458">
        <f>CG10*CH10</f>
        <v>417540447.66153353</v>
      </c>
      <c r="CJ10" s="129">
        <f>BX10</f>
        <v>1</v>
      </c>
      <c r="CK10" s="458">
        <f>CI10*CJ10</f>
        <v>417540447.66153353</v>
      </c>
      <c r="CL10" s="129">
        <f>BZ10</f>
        <v>1</v>
      </c>
      <c r="CM10" s="458">
        <f>CK10*CL10</f>
        <v>417540447.66153353</v>
      </c>
      <c r="CN10" s="129">
        <f>CJ10</f>
        <v>1</v>
      </c>
      <c r="CO10" s="458">
        <f>CM10*CN10</f>
        <v>417540447.66153353</v>
      </c>
      <c r="CP10" s="129">
        <f>CL10</f>
        <v>1</v>
      </c>
      <c r="CQ10" s="458">
        <f>CO10*CP10</f>
        <v>417540447.66153353</v>
      </c>
      <c r="CR10" s="129">
        <f>AB10</f>
        <v>1</v>
      </c>
      <c r="CS10" s="458">
        <f>CQ10*CR10</f>
        <v>417540447.66153353</v>
      </c>
      <c r="CT10" s="129">
        <f>AD10</f>
        <v>1</v>
      </c>
      <c r="CU10" s="458">
        <f>CS10*CT10</f>
        <v>417540447.66153353</v>
      </c>
      <c r="CV10" s="129">
        <f>CR10</f>
        <v>1</v>
      </c>
      <c r="CW10" s="458">
        <f>CU10*CV10</f>
        <v>417540447.66153353</v>
      </c>
      <c r="CX10" s="129">
        <f>CT10</f>
        <v>1</v>
      </c>
      <c r="CY10" s="458">
        <f>CW10*CX10</f>
        <v>417540447.66153353</v>
      </c>
      <c r="CZ10" s="719">
        <f>G10+I10+M10+Q10+U10+Y10+AC10+AG10+AK10+AO10+AS10+AW10+BA10+BE10+BI10+BM10+BQ10+BU10+BY10+CC10+CG10+CK10+CO10+CS10+CW10</f>
        <v>10438511191.538336</v>
      </c>
      <c r="DB10" s="590">
        <f>CV10</f>
        <v>1</v>
      </c>
      <c r="DC10" s="458">
        <f>CY10*DB10</f>
        <v>417540447.66153353</v>
      </c>
      <c r="DD10" s="623"/>
      <c r="DE10" s="624"/>
      <c r="DF10" s="628"/>
    </row>
    <row r="11" spans="1:139" ht="16.2" thickBot="1" x14ac:dyDescent="0.35">
      <c r="B11" s="585"/>
      <c r="C11" s="1078"/>
      <c r="D11" s="630" t="s">
        <v>1291</v>
      </c>
      <c r="E11" s="631">
        <f>E8/2</f>
        <v>15025737600.067259</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7"/>
      <c r="BQ11" s="457" t="s">
        <v>283</v>
      </c>
      <c r="BR11" s="122"/>
      <c r="BS11" s="8"/>
      <c r="BT11" s="7"/>
      <c r="BU11" s="457" t="s">
        <v>283</v>
      </c>
      <c r="BV11" s="122"/>
      <c r="BW11" s="8"/>
      <c r="BX11" s="7"/>
      <c r="BY11" s="457" t="s">
        <v>283</v>
      </c>
      <c r="BZ11" s="122"/>
      <c r="CA11" s="8"/>
      <c r="CB11" s="7"/>
      <c r="CC11" s="457" t="s">
        <v>283</v>
      </c>
      <c r="CD11" s="122"/>
      <c r="CE11" s="8"/>
      <c r="CF11" s="7"/>
      <c r="CG11" s="457" t="s">
        <v>283</v>
      </c>
      <c r="CH11" s="122"/>
      <c r="CI11" s="8"/>
      <c r="CJ11" s="7"/>
      <c r="CK11" s="457" t="s">
        <v>283</v>
      </c>
      <c r="CL11" s="122"/>
      <c r="CM11" s="8"/>
      <c r="CN11" s="7"/>
      <c r="CO11" s="457" t="s">
        <v>283</v>
      </c>
      <c r="CP11" s="122"/>
      <c r="CQ11" s="8"/>
      <c r="CR11" s="7"/>
      <c r="CS11" s="457" t="s">
        <v>283</v>
      </c>
      <c r="CT11" s="122"/>
      <c r="CU11" s="8"/>
      <c r="CV11" s="122"/>
      <c r="CW11" s="457" t="s">
        <v>283</v>
      </c>
      <c r="CX11" s="122"/>
      <c r="CY11" s="8"/>
      <c r="CZ11" s="126"/>
      <c r="DB11" s="122"/>
      <c r="DC11" s="457" t="s">
        <v>283</v>
      </c>
      <c r="DD11" s="623"/>
      <c r="DE11" s="623"/>
      <c r="DF11" s="628"/>
    </row>
    <row r="12" spans="1:139" ht="16.2" thickBot="1" x14ac:dyDescent="0.35">
      <c r="B12" s="584"/>
      <c r="E12" s="997">
        <f>E9*E10</f>
        <v>0</v>
      </c>
      <c r="F12" s="1086">
        <v>0.25</v>
      </c>
      <c r="G12" s="135">
        <f>E14*F12</f>
        <v>417540447.66153353</v>
      </c>
      <c r="H12" s="461">
        <v>1</v>
      </c>
      <c r="I12" s="135">
        <f>G12*H12</f>
        <v>417540447.66153353</v>
      </c>
      <c r="J12" s="461">
        <v>1</v>
      </c>
      <c r="K12" s="440">
        <f>I12*J12</f>
        <v>417540447.66153353</v>
      </c>
      <c r="L12" s="133">
        <f>H12</f>
        <v>1</v>
      </c>
      <c r="M12" s="440">
        <f>K12*L12</f>
        <v>417540447.66153353</v>
      </c>
      <c r="N12" s="133">
        <f>J12</f>
        <v>1</v>
      </c>
      <c r="O12" s="440">
        <f>M12*N12</f>
        <v>417540447.66153353</v>
      </c>
      <c r="P12" s="133">
        <f>L12</f>
        <v>1</v>
      </c>
      <c r="Q12" s="440">
        <f>O12*P12</f>
        <v>417540447.66153353</v>
      </c>
      <c r="R12" s="133">
        <f>N12</f>
        <v>1</v>
      </c>
      <c r="S12" s="440">
        <f>Q12*R12</f>
        <v>417540447.66153353</v>
      </c>
      <c r="T12" s="133">
        <f>P12</f>
        <v>1</v>
      </c>
      <c r="U12" s="440">
        <f>S12*T12</f>
        <v>417540447.66153353</v>
      </c>
      <c r="V12" s="133">
        <f>R12</f>
        <v>1</v>
      </c>
      <c r="W12" s="440">
        <f>U12*V12</f>
        <v>417540447.66153353</v>
      </c>
      <c r="X12" s="133">
        <f>T12</f>
        <v>1</v>
      </c>
      <c r="Y12" s="440">
        <f>W12*X12</f>
        <v>417540447.66153353</v>
      </c>
      <c r="Z12" s="133">
        <f>V12</f>
        <v>1</v>
      </c>
      <c r="AA12" s="440">
        <f>Y12*Z12</f>
        <v>417540447.66153353</v>
      </c>
      <c r="AB12" s="133">
        <f>X12</f>
        <v>1</v>
      </c>
      <c r="AC12" s="440">
        <f>AA12*AB12</f>
        <v>417540447.66153353</v>
      </c>
      <c r="AD12" s="133">
        <f>Z12</f>
        <v>1</v>
      </c>
      <c r="AE12" s="440">
        <f>AC12*AD12</f>
        <v>417540447.66153353</v>
      </c>
      <c r="AF12" s="133">
        <f>AB12</f>
        <v>1</v>
      </c>
      <c r="AG12" s="440">
        <f>AE12*AF12</f>
        <v>417540447.66153353</v>
      </c>
      <c r="AH12" s="133">
        <f>AD12</f>
        <v>1</v>
      </c>
      <c r="AI12" s="440">
        <f>AG12*AH12</f>
        <v>417540447.66153353</v>
      </c>
      <c r="AJ12" s="133">
        <f>AF12</f>
        <v>1</v>
      </c>
      <c r="AK12" s="440">
        <f>AI12*AJ12</f>
        <v>417540447.66153353</v>
      </c>
      <c r="AL12" s="133">
        <f>AH12</f>
        <v>1</v>
      </c>
      <c r="AM12" s="440">
        <f>AK12*AL12</f>
        <v>417540447.66153353</v>
      </c>
      <c r="AN12" s="133">
        <f>AJ12</f>
        <v>1</v>
      </c>
      <c r="AO12" s="440">
        <f>AM12*AN12</f>
        <v>417540447.66153353</v>
      </c>
      <c r="AP12" s="133">
        <f>AL12</f>
        <v>1</v>
      </c>
      <c r="AQ12" s="440">
        <f>AO12*AP12</f>
        <v>417540447.66153353</v>
      </c>
      <c r="AR12" s="133">
        <f>AN12</f>
        <v>1</v>
      </c>
      <c r="AS12" s="440">
        <f>AQ12*AR12</f>
        <v>417540447.66153353</v>
      </c>
      <c r="AT12" s="133">
        <f>AP12</f>
        <v>1</v>
      </c>
      <c r="AU12" s="440">
        <f>AS12*AT12</f>
        <v>417540447.66153353</v>
      </c>
      <c r="AV12" s="133">
        <f>AR12</f>
        <v>1</v>
      </c>
      <c r="AW12" s="440">
        <f>AU12*AV12</f>
        <v>417540447.66153353</v>
      </c>
      <c r="AX12" s="133">
        <f>AT12</f>
        <v>1</v>
      </c>
      <c r="AY12" s="440">
        <f>AW12*AX12</f>
        <v>417540447.66153353</v>
      </c>
      <c r="AZ12" s="133">
        <f>AV12</f>
        <v>1</v>
      </c>
      <c r="BA12" s="440">
        <f>AY12*AZ12</f>
        <v>417540447.66153353</v>
      </c>
      <c r="BB12" s="133">
        <f>AX12</f>
        <v>1</v>
      </c>
      <c r="BC12" s="440">
        <f>BA12*BB12</f>
        <v>417540447.66153353</v>
      </c>
      <c r="BD12" s="133">
        <f>AR12</f>
        <v>1</v>
      </c>
      <c r="BE12" s="440">
        <f>BC12*BD12</f>
        <v>417540447.66153353</v>
      </c>
      <c r="BF12" s="133">
        <f>AT12</f>
        <v>1</v>
      </c>
      <c r="BG12" s="440">
        <f>BE12*BF12</f>
        <v>417540447.66153353</v>
      </c>
      <c r="BH12" s="133">
        <f>BD12</f>
        <v>1</v>
      </c>
      <c r="BI12" s="440">
        <f>BG12*BH12</f>
        <v>417540447.66153353</v>
      </c>
      <c r="BJ12" s="133">
        <f>BF12</f>
        <v>1</v>
      </c>
      <c r="BK12" s="440">
        <f>BI12*BJ12</f>
        <v>417540447.66153353</v>
      </c>
      <c r="BL12" s="133">
        <f>BH12</f>
        <v>1</v>
      </c>
      <c r="BM12" s="440">
        <f>BK12*BL12</f>
        <v>417540447.66153353</v>
      </c>
      <c r="BN12" s="133">
        <f>BJ12</f>
        <v>1</v>
      </c>
      <c r="BO12" s="440">
        <f>BM12*BN12</f>
        <v>417540447.66153353</v>
      </c>
      <c r="BP12" s="133">
        <f>BL12</f>
        <v>1</v>
      </c>
      <c r="BQ12" s="440">
        <f>BO12*BP12</f>
        <v>417540447.66153353</v>
      </c>
      <c r="BR12" s="133">
        <f>BN12</f>
        <v>1</v>
      </c>
      <c r="BS12" s="440">
        <f>BQ12*BR12</f>
        <v>417540447.66153353</v>
      </c>
      <c r="BT12" s="133">
        <f>BP12</f>
        <v>1</v>
      </c>
      <c r="BU12" s="440">
        <f>BS12*BT12</f>
        <v>417540447.66153353</v>
      </c>
      <c r="BV12" s="133">
        <f>BR12</f>
        <v>1</v>
      </c>
      <c r="BW12" s="440">
        <f>BU12*BV12</f>
        <v>417540447.66153353</v>
      </c>
      <c r="BX12" s="133">
        <f>BT12</f>
        <v>1</v>
      </c>
      <c r="BY12" s="440">
        <f>BW12*BX12</f>
        <v>417540447.66153353</v>
      </c>
      <c r="BZ12" s="133">
        <f>BV12</f>
        <v>1</v>
      </c>
      <c r="CA12" s="440">
        <f>BY12*BZ12</f>
        <v>417540447.66153353</v>
      </c>
      <c r="CB12" s="133">
        <f>BX12</f>
        <v>1</v>
      </c>
      <c r="CC12" s="440">
        <f>CA12*CB12</f>
        <v>417540447.66153353</v>
      </c>
      <c r="CD12" s="133">
        <f>BZ12</f>
        <v>1</v>
      </c>
      <c r="CE12" s="440">
        <f>CC12*CD12</f>
        <v>417540447.66153353</v>
      </c>
      <c r="CF12" s="133">
        <f>CB12</f>
        <v>1</v>
      </c>
      <c r="CG12" s="440">
        <f>CE12*CF12</f>
        <v>417540447.66153353</v>
      </c>
      <c r="CH12" s="133">
        <f>CD12</f>
        <v>1</v>
      </c>
      <c r="CI12" s="440">
        <f>CG12*CH12</f>
        <v>417540447.66153353</v>
      </c>
      <c r="CJ12" s="133">
        <f>BX12</f>
        <v>1</v>
      </c>
      <c r="CK12" s="440">
        <f>CI12*CJ12</f>
        <v>417540447.66153353</v>
      </c>
      <c r="CL12" s="133">
        <f>BZ12</f>
        <v>1</v>
      </c>
      <c r="CM12" s="440">
        <f>CK12*CL12</f>
        <v>417540447.66153353</v>
      </c>
      <c r="CN12" s="133">
        <f>CJ12</f>
        <v>1</v>
      </c>
      <c r="CO12" s="440">
        <f>CM12*CN12</f>
        <v>417540447.66153353</v>
      </c>
      <c r="CP12" s="133">
        <f>CL12</f>
        <v>1</v>
      </c>
      <c r="CQ12" s="440">
        <f>CO12*CP12</f>
        <v>417540447.66153353</v>
      </c>
      <c r="CR12" s="133">
        <f>AB12</f>
        <v>1</v>
      </c>
      <c r="CS12" s="440">
        <f>CQ12*CR12</f>
        <v>417540447.66153353</v>
      </c>
      <c r="CT12" s="133">
        <f>AD12</f>
        <v>1</v>
      </c>
      <c r="CU12" s="440">
        <f>CS12*CT12</f>
        <v>417540447.66153353</v>
      </c>
      <c r="CV12" s="133">
        <f>CR12</f>
        <v>1</v>
      </c>
      <c r="CW12" s="440">
        <f>CU12*CV12</f>
        <v>417540447.66153353</v>
      </c>
      <c r="CX12" s="133">
        <f>CT12</f>
        <v>1</v>
      </c>
      <c r="CY12" s="440">
        <f>CW12*CX12</f>
        <v>417540447.66153353</v>
      </c>
      <c r="CZ12" s="719">
        <f>G12+I12+M12+Q12+U12+Y12+AC12+AG12+AK12+AO12+AS12+AW12+BA12+BE12+BI12+BM12+BQ12+BU12+BY12+CC12+CG12+CK12+CO12+CS12+CW12</f>
        <v>10438511191.538336</v>
      </c>
      <c r="DB12" s="591">
        <f>CV12</f>
        <v>1</v>
      </c>
      <c r="DC12" s="440">
        <f>CY12*DB12</f>
        <v>417540447.66153353</v>
      </c>
      <c r="DD12" s="623"/>
      <c r="DE12" s="624"/>
      <c r="DF12" s="628"/>
    </row>
    <row r="13" spans="1:139"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7"/>
      <c r="BQ13" s="451" t="s">
        <v>284</v>
      </c>
      <c r="BR13" s="122"/>
      <c r="BS13" s="8"/>
      <c r="BT13" s="7"/>
      <c r="BU13" s="451" t="s">
        <v>284</v>
      </c>
      <c r="BV13" s="122"/>
      <c r="BW13" s="8"/>
      <c r="BX13" s="7"/>
      <c r="BY13" s="451" t="s">
        <v>284</v>
      </c>
      <c r="BZ13" s="122"/>
      <c r="CA13" s="8"/>
      <c r="CB13" s="7"/>
      <c r="CC13" s="451" t="s">
        <v>284</v>
      </c>
      <c r="CD13" s="122"/>
      <c r="CE13" s="8"/>
      <c r="CF13" s="7"/>
      <c r="CG13" s="451" t="s">
        <v>284</v>
      </c>
      <c r="CH13" s="122"/>
      <c r="CI13" s="8"/>
      <c r="CJ13" s="7"/>
      <c r="CK13" s="451" t="s">
        <v>284</v>
      </c>
      <c r="CL13" s="122"/>
      <c r="CM13" s="8"/>
      <c r="CN13" s="7"/>
      <c r="CO13" s="451" t="s">
        <v>284</v>
      </c>
      <c r="CP13" s="122"/>
      <c r="CQ13" s="8"/>
      <c r="CR13" s="7"/>
      <c r="CS13" s="451" t="s">
        <v>284</v>
      </c>
      <c r="CT13" s="122"/>
      <c r="CU13" s="8"/>
      <c r="CV13" s="122"/>
      <c r="CW13" s="451" t="s">
        <v>284</v>
      </c>
      <c r="CX13" s="122"/>
      <c r="CY13" s="8"/>
      <c r="CZ13" s="126"/>
      <c r="DB13" s="122"/>
      <c r="DC13" s="451" t="s">
        <v>284</v>
      </c>
      <c r="DD13" s="623"/>
      <c r="DE13" s="623"/>
      <c r="DF13" s="628"/>
    </row>
    <row r="14" spans="1:139" ht="16.2" thickBot="1" x14ac:dyDescent="0.35">
      <c r="A14" s="162"/>
      <c r="B14" s="162"/>
      <c r="C14" s="137" t="s">
        <v>291</v>
      </c>
      <c r="D14" s="1212">
        <v>0.111153397929607</v>
      </c>
      <c r="E14" s="139">
        <f>E11*D14</f>
        <v>1670161790.6461341</v>
      </c>
      <c r="F14" s="1088">
        <v>0.5</v>
      </c>
      <c r="G14" s="139">
        <f>E14*F14</f>
        <v>835080895.32306707</v>
      </c>
      <c r="H14" s="463">
        <v>1</v>
      </c>
      <c r="I14" s="139">
        <f>G14*H14</f>
        <v>835080895.32306707</v>
      </c>
      <c r="J14" s="463">
        <v>1</v>
      </c>
      <c r="K14" s="441">
        <f>I14*J14</f>
        <v>835080895.32306707</v>
      </c>
      <c r="L14" s="140">
        <f>H14</f>
        <v>1</v>
      </c>
      <c r="M14" s="441">
        <f>K14*L14</f>
        <v>835080895.32306707</v>
      </c>
      <c r="N14" s="140">
        <f>J14</f>
        <v>1</v>
      </c>
      <c r="O14" s="441">
        <f>M14*N14</f>
        <v>835080895.32306707</v>
      </c>
      <c r="P14" s="140">
        <f>L14</f>
        <v>1</v>
      </c>
      <c r="Q14" s="441">
        <f>O14*P14</f>
        <v>835080895.32306707</v>
      </c>
      <c r="R14" s="140">
        <f>N14</f>
        <v>1</v>
      </c>
      <c r="S14" s="441">
        <f>Q14*R14</f>
        <v>835080895.32306707</v>
      </c>
      <c r="T14" s="140">
        <f>P14</f>
        <v>1</v>
      </c>
      <c r="U14" s="441">
        <f>S14*T14</f>
        <v>835080895.32306707</v>
      </c>
      <c r="V14" s="140">
        <f>R14</f>
        <v>1</v>
      </c>
      <c r="W14" s="441">
        <f>U14*V14</f>
        <v>835080895.32306707</v>
      </c>
      <c r="X14" s="140">
        <f>T14</f>
        <v>1</v>
      </c>
      <c r="Y14" s="441">
        <f>W14*X14</f>
        <v>835080895.32306707</v>
      </c>
      <c r="Z14" s="140">
        <f>V14</f>
        <v>1</v>
      </c>
      <c r="AA14" s="441">
        <f>Y14*Z14</f>
        <v>835080895.32306707</v>
      </c>
      <c r="AB14" s="140">
        <f>X14</f>
        <v>1</v>
      </c>
      <c r="AC14" s="441">
        <f>AA14*AB14</f>
        <v>835080895.32306707</v>
      </c>
      <c r="AD14" s="140">
        <f>Z14</f>
        <v>1</v>
      </c>
      <c r="AE14" s="441">
        <f>AC14*AD14</f>
        <v>835080895.32306707</v>
      </c>
      <c r="AF14" s="140">
        <f>AB14</f>
        <v>1</v>
      </c>
      <c r="AG14" s="441">
        <f>AE14*AF14</f>
        <v>835080895.32306707</v>
      </c>
      <c r="AH14" s="140">
        <f>AD14</f>
        <v>1</v>
      </c>
      <c r="AI14" s="441">
        <f>AG14*AH14</f>
        <v>835080895.32306707</v>
      </c>
      <c r="AJ14" s="140">
        <f>AF14</f>
        <v>1</v>
      </c>
      <c r="AK14" s="441">
        <f>AI14*AJ14</f>
        <v>835080895.32306707</v>
      </c>
      <c r="AL14" s="140">
        <f>AH14</f>
        <v>1</v>
      </c>
      <c r="AM14" s="441">
        <f>AK14*AL14</f>
        <v>835080895.32306707</v>
      </c>
      <c r="AN14" s="140">
        <f>AJ14</f>
        <v>1</v>
      </c>
      <c r="AO14" s="441">
        <f>AM14*AN14</f>
        <v>835080895.32306707</v>
      </c>
      <c r="AP14" s="140">
        <f>AL14</f>
        <v>1</v>
      </c>
      <c r="AQ14" s="441">
        <f>AO14*AP14</f>
        <v>835080895.32306707</v>
      </c>
      <c r="AR14" s="140">
        <f>AN14</f>
        <v>1</v>
      </c>
      <c r="AS14" s="441">
        <f>AQ14*AR14</f>
        <v>835080895.32306707</v>
      </c>
      <c r="AT14" s="140">
        <f>AP14</f>
        <v>1</v>
      </c>
      <c r="AU14" s="441">
        <f>AS14*AT14</f>
        <v>835080895.32306707</v>
      </c>
      <c r="AV14" s="140">
        <f>AR14</f>
        <v>1</v>
      </c>
      <c r="AW14" s="441">
        <f>AU14*AV14</f>
        <v>835080895.32306707</v>
      </c>
      <c r="AX14" s="140">
        <f>AT14</f>
        <v>1</v>
      </c>
      <c r="AY14" s="441">
        <f>AW14*AX14</f>
        <v>835080895.32306707</v>
      </c>
      <c r="AZ14" s="140">
        <f>AV14</f>
        <v>1</v>
      </c>
      <c r="BA14" s="441">
        <f>AY14*AZ14</f>
        <v>835080895.32306707</v>
      </c>
      <c r="BB14" s="140">
        <f>AX14</f>
        <v>1</v>
      </c>
      <c r="BC14" s="441">
        <f>BA14*BB14</f>
        <v>835080895.32306707</v>
      </c>
      <c r="BD14" s="140">
        <f>AR14</f>
        <v>1</v>
      </c>
      <c r="BE14" s="441">
        <f>BC14*BD14</f>
        <v>835080895.32306707</v>
      </c>
      <c r="BF14" s="140">
        <f>AT14</f>
        <v>1</v>
      </c>
      <c r="BG14" s="441">
        <f>BE14*BF14</f>
        <v>835080895.32306707</v>
      </c>
      <c r="BH14" s="140">
        <f>BD14</f>
        <v>1</v>
      </c>
      <c r="BI14" s="441">
        <f>BG14*BH14</f>
        <v>835080895.32306707</v>
      </c>
      <c r="BJ14" s="140">
        <f>BF14</f>
        <v>1</v>
      </c>
      <c r="BK14" s="441">
        <f>BI14*BJ14</f>
        <v>835080895.32306707</v>
      </c>
      <c r="BL14" s="140">
        <f>BH14</f>
        <v>1</v>
      </c>
      <c r="BM14" s="441">
        <f>BK14*BL14</f>
        <v>835080895.32306707</v>
      </c>
      <c r="BN14" s="140">
        <f>BJ14</f>
        <v>1</v>
      </c>
      <c r="BO14" s="441">
        <f>BM14*BN14</f>
        <v>835080895.32306707</v>
      </c>
      <c r="BP14" s="140">
        <f>BL14</f>
        <v>1</v>
      </c>
      <c r="BQ14" s="441">
        <f>BO14*BP14</f>
        <v>835080895.32306707</v>
      </c>
      <c r="BR14" s="140">
        <f>BN14</f>
        <v>1</v>
      </c>
      <c r="BS14" s="441">
        <f>BQ14*BR14</f>
        <v>835080895.32306707</v>
      </c>
      <c r="BT14" s="140">
        <f>BP14</f>
        <v>1</v>
      </c>
      <c r="BU14" s="441">
        <f>BS14*BT14</f>
        <v>835080895.32306707</v>
      </c>
      <c r="BV14" s="140">
        <f>BR14</f>
        <v>1</v>
      </c>
      <c r="BW14" s="441">
        <f>BU14*BV14</f>
        <v>835080895.32306707</v>
      </c>
      <c r="BX14" s="140">
        <f>BT14</f>
        <v>1</v>
      </c>
      <c r="BY14" s="441">
        <f>BW14*BX14</f>
        <v>835080895.32306707</v>
      </c>
      <c r="BZ14" s="140">
        <f>BV14</f>
        <v>1</v>
      </c>
      <c r="CA14" s="441">
        <f>BY14*BZ14</f>
        <v>835080895.32306707</v>
      </c>
      <c r="CB14" s="140">
        <f>BX14</f>
        <v>1</v>
      </c>
      <c r="CC14" s="441">
        <f>CA14*CB14</f>
        <v>835080895.32306707</v>
      </c>
      <c r="CD14" s="140">
        <f>BZ14</f>
        <v>1</v>
      </c>
      <c r="CE14" s="441">
        <f>CC14*CD14</f>
        <v>835080895.32306707</v>
      </c>
      <c r="CF14" s="140">
        <f>CB14</f>
        <v>1</v>
      </c>
      <c r="CG14" s="441">
        <f>CE14*CF14</f>
        <v>835080895.32306707</v>
      </c>
      <c r="CH14" s="140">
        <f>CD14</f>
        <v>1</v>
      </c>
      <c r="CI14" s="441">
        <f>CG14*CH14</f>
        <v>835080895.32306707</v>
      </c>
      <c r="CJ14" s="140">
        <f>BX14</f>
        <v>1</v>
      </c>
      <c r="CK14" s="441">
        <f>CI14*CJ14</f>
        <v>835080895.32306707</v>
      </c>
      <c r="CL14" s="140">
        <f>BZ14</f>
        <v>1</v>
      </c>
      <c r="CM14" s="441">
        <f>CK14*CL14</f>
        <v>835080895.32306707</v>
      </c>
      <c r="CN14" s="140">
        <f>CJ14</f>
        <v>1</v>
      </c>
      <c r="CO14" s="441">
        <f>CM14*CN14</f>
        <v>835080895.32306707</v>
      </c>
      <c r="CP14" s="140">
        <f>CL14</f>
        <v>1</v>
      </c>
      <c r="CQ14" s="441">
        <f>CO14*CP14</f>
        <v>835080895.32306707</v>
      </c>
      <c r="CR14" s="140">
        <f>AB14</f>
        <v>1</v>
      </c>
      <c r="CS14" s="441">
        <f>CQ14*CR14</f>
        <v>835080895.32306707</v>
      </c>
      <c r="CT14" s="140">
        <f>AD14</f>
        <v>1</v>
      </c>
      <c r="CU14" s="441">
        <f>CS14*CT14</f>
        <v>835080895.32306707</v>
      </c>
      <c r="CV14" s="140">
        <f>CR14</f>
        <v>1</v>
      </c>
      <c r="CW14" s="441">
        <f>CU14*CV14</f>
        <v>835080895.32306707</v>
      </c>
      <c r="CX14" s="140">
        <f>CT14</f>
        <v>1</v>
      </c>
      <c r="CY14" s="441">
        <f>CW14*CX14</f>
        <v>835080895.32306707</v>
      </c>
      <c r="CZ14" s="719">
        <f>G14+I14+M14+Q14+U14+Y14+AC14+AG14+AK14+AO14+AS14+AW14+BA14+BE14+BI14+BM14+BQ14+BU14+BY14+CC14+CG14+CK14+CO14+CS14+CW14</f>
        <v>20877022383.076672</v>
      </c>
      <c r="DB14" s="592">
        <f>CV14</f>
        <v>1</v>
      </c>
      <c r="DC14" s="441">
        <f>CY14*DB14</f>
        <v>835080895.32306707</v>
      </c>
      <c r="DD14" s="623"/>
      <c r="DE14" s="624"/>
      <c r="DF14" s="628"/>
    </row>
    <row r="15" spans="1:139"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23"/>
      <c r="DE15" s="623"/>
      <c r="DF15" s="628"/>
    </row>
    <row r="16" spans="1:139"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251"/>
      <c r="BQ16" s="454" t="s">
        <v>744</v>
      </c>
      <c r="BR16" s="455"/>
      <c r="BS16" s="456"/>
      <c r="BT16" s="251"/>
      <c r="BU16" s="454" t="s">
        <v>744</v>
      </c>
      <c r="BV16" s="455"/>
      <c r="BW16" s="456"/>
      <c r="BX16" s="251"/>
      <c r="BY16" s="454" t="s">
        <v>744</v>
      </c>
      <c r="BZ16" s="455"/>
      <c r="CA16" s="456"/>
      <c r="CB16" s="251"/>
      <c r="CC16" s="454" t="s">
        <v>744</v>
      </c>
      <c r="CD16" s="455"/>
      <c r="CE16" s="456"/>
      <c r="CF16" s="251"/>
      <c r="CG16" s="454" t="s">
        <v>744</v>
      </c>
      <c r="CH16" s="455"/>
      <c r="CI16" s="456"/>
      <c r="CJ16" s="251"/>
      <c r="CK16" s="454" t="s">
        <v>744</v>
      </c>
      <c r="CL16" s="455"/>
      <c r="CM16" s="456"/>
      <c r="CN16" s="251"/>
      <c r="CO16" s="454" t="s">
        <v>744</v>
      </c>
      <c r="CP16" s="455"/>
      <c r="CQ16" s="456"/>
      <c r="CR16" s="251"/>
      <c r="CS16" s="454" t="s">
        <v>744</v>
      </c>
      <c r="CT16" s="455"/>
      <c r="CU16" s="456"/>
      <c r="CV16" s="455"/>
      <c r="CW16" s="454" t="s">
        <v>744</v>
      </c>
      <c r="CX16" s="141"/>
      <c r="CY16" s="164"/>
      <c r="CZ16" s="126"/>
      <c r="DB16" s="455"/>
      <c r="DC16" s="454" t="s">
        <v>744</v>
      </c>
      <c r="DD16" s="625"/>
      <c r="DE16" s="625"/>
      <c r="DF16" s="628"/>
      <c r="DS16" s="233"/>
      <c r="DW16" s="233"/>
      <c r="EH16" s="345"/>
      <c r="EI16" s="233"/>
    </row>
    <row r="17" spans="1:141" ht="16.2" thickBot="1" x14ac:dyDescent="0.35">
      <c r="A17" s="18"/>
      <c r="B17" s="18"/>
      <c r="C17" s="397" t="s">
        <v>276</v>
      </c>
      <c r="D17" s="1213">
        <f>100%-D14-D21</f>
        <v>0.5625</v>
      </c>
      <c r="E17" s="399">
        <f>E11*D17</f>
        <v>8451977400.0378332</v>
      </c>
      <c r="F17" s="1090">
        <v>1</v>
      </c>
      <c r="G17" s="399">
        <f>E17*F17</f>
        <v>8451977400.0378332</v>
      </c>
      <c r="H17" s="464">
        <v>1</v>
      </c>
      <c r="I17" s="399">
        <f>G17*H17</f>
        <v>8451977400.0378332</v>
      </c>
      <c r="J17" s="464">
        <v>1</v>
      </c>
      <c r="K17" s="453">
        <f>I17*J17</f>
        <v>8451977400.0378332</v>
      </c>
      <c r="L17" s="400">
        <f>H17</f>
        <v>1</v>
      </c>
      <c r="M17" s="453">
        <f>K17*L17</f>
        <v>8451977400.0378332</v>
      </c>
      <c r="N17" s="400">
        <f>J17</f>
        <v>1</v>
      </c>
      <c r="O17" s="453">
        <f>M17*N17</f>
        <v>8451977400.0378332</v>
      </c>
      <c r="P17" s="400">
        <f>L17</f>
        <v>1</v>
      </c>
      <c r="Q17" s="453">
        <f>O17*P17</f>
        <v>8451977400.0378332</v>
      </c>
      <c r="R17" s="400">
        <f>N17</f>
        <v>1</v>
      </c>
      <c r="S17" s="453">
        <f>Q17*R17</f>
        <v>8451977400.0378332</v>
      </c>
      <c r="T17" s="400">
        <f>P17</f>
        <v>1</v>
      </c>
      <c r="U17" s="453">
        <f>S17*T17</f>
        <v>8451977400.0378332</v>
      </c>
      <c r="V17" s="400">
        <f>R17</f>
        <v>1</v>
      </c>
      <c r="W17" s="453">
        <f>U17*V17</f>
        <v>8451977400.0378332</v>
      </c>
      <c r="X17" s="400">
        <f>T17</f>
        <v>1</v>
      </c>
      <c r="Y17" s="453">
        <f>W17*X17</f>
        <v>8451977400.0378332</v>
      </c>
      <c r="Z17" s="400">
        <f>V17</f>
        <v>1</v>
      </c>
      <c r="AA17" s="453">
        <f>Y17*Z17</f>
        <v>8451977400.0378332</v>
      </c>
      <c r="AB17" s="400">
        <f>X17</f>
        <v>1</v>
      </c>
      <c r="AC17" s="453">
        <f>AA17*AB17</f>
        <v>8451977400.0378332</v>
      </c>
      <c r="AD17" s="400">
        <f>Z17</f>
        <v>1</v>
      </c>
      <c r="AE17" s="453">
        <f>AC17*AD17</f>
        <v>8451977400.0378332</v>
      </c>
      <c r="AF17" s="400">
        <f>AB17</f>
        <v>1</v>
      </c>
      <c r="AG17" s="453">
        <f>AE17*AF17</f>
        <v>8451977400.0378332</v>
      </c>
      <c r="AH17" s="400">
        <f>AD17</f>
        <v>1</v>
      </c>
      <c r="AI17" s="453">
        <f>AG17*AH17</f>
        <v>8451977400.0378332</v>
      </c>
      <c r="AJ17" s="400">
        <f>AF17</f>
        <v>1</v>
      </c>
      <c r="AK17" s="453">
        <f>AI17*AJ17</f>
        <v>8451977400.0378332</v>
      </c>
      <c r="AL17" s="400">
        <f>AH17</f>
        <v>1</v>
      </c>
      <c r="AM17" s="453">
        <f>AK17*AL17</f>
        <v>8451977400.0378332</v>
      </c>
      <c r="AN17" s="400">
        <f>AJ17</f>
        <v>1</v>
      </c>
      <c r="AO17" s="453">
        <f>AM17*AN17</f>
        <v>8451977400.0378332</v>
      </c>
      <c r="AP17" s="400">
        <f>AL17</f>
        <v>1</v>
      </c>
      <c r="AQ17" s="453">
        <f>AO17*AP17</f>
        <v>8451977400.0378332</v>
      </c>
      <c r="AR17" s="400">
        <f>AN17</f>
        <v>1</v>
      </c>
      <c r="AS17" s="453">
        <f>AQ17*AR17</f>
        <v>8451977400.0378332</v>
      </c>
      <c r="AT17" s="400">
        <f>AP17</f>
        <v>1</v>
      </c>
      <c r="AU17" s="453">
        <f>AS17*AT17</f>
        <v>8451977400.0378332</v>
      </c>
      <c r="AV17" s="400">
        <f>AR17</f>
        <v>1</v>
      </c>
      <c r="AW17" s="453">
        <f>AU17*AV17</f>
        <v>8451977400.0378332</v>
      </c>
      <c r="AX17" s="400">
        <f>AT17</f>
        <v>1</v>
      </c>
      <c r="AY17" s="453">
        <f>AW17*AX17</f>
        <v>8451977400.0378332</v>
      </c>
      <c r="AZ17" s="400">
        <f>AV17</f>
        <v>1</v>
      </c>
      <c r="BA17" s="453">
        <f>AY17*AZ17</f>
        <v>8451977400.0378332</v>
      </c>
      <c r="BB17" s="400">
        <f>AX17</f>
        <v>1</v>
      </c>
      <c r="BC17" s="453">
        <f>BA17*BB17</f>
        <v>8451977400.0378332</v>
      </c>
      <c r="BD17" s="400">
        <f>AR17</f>
        <v>1</v>
      </c>
      <c r="BE17" s="453">
        <f>BC17*BD17</f>
        <v>8451977400.0378332</v>
      </c>
      <c r="BF17" s="400">
        <f>AT17</f>
        <v>1</v>
      </c>
      <c r="BG17" s="453">
        <f>BE17*BF17</f>
        <v>8451977400.0378332</v>
      </c>
      <c r="BH17" s="400">
        <f>BD17</f>
        <v>1</v>
      </c>
      <c r="BI17" s="453">
        <f>BG17*BH17</f>
        <v>8451977400.0378332</v>
      </c>
      <c r="BJ17" s="400">
        <f>BF17</f>
        <v>1</v>
      </c>
      <c r="BK17" s="453">
        <f>BI17*BJ17</f>
        <v>8451977400.0378332</v>
      </c>
      <c r="BL17" s="400">
        <f>BH17</f>
        <v>1</v>
      </c>
      <c r="BM17" s="453">
        <f>BK17*BL17</f>
        <v>8451977400.0378332</v>
      </c>
      <c r="BN17" s="400">
        <f>BJ17</f>
        <v>1</v>
      </c>
      <c r="BO17" s="453">
        <f>BM17*BN17</f>
        <v>8451977400.0378332</v>
      </c>
      <c r="BP17" s="400">
        <f>BL17</f>
        <v>1</v>
      </c>
      <c r="BQ17" s="453">
        <f>BO17*BP17</f>
        <v>8451977400.0378332</v>
      </c>
      <c r="BR17" s="400">
        <f>BN17</f>
        <v>1</v>
      </c>
      <c r="BS17" s="453">
        <f>BQ17*BR17</f>
        <v>8451977400.0378332</v>
      </c>
      <c r="BT17" s="400">
        <f>BP17</f>
        <v>1</v>
      </c>
      <c r="BU17" s="453">
        <f>BS17*BT17</f>
        <v>8451977400.0378332</v>
      </c>
      <c r="BV17" s="400">
        <f>BR17</f>
        <v>1</v>
      </c>
      <c r="BW17" s="453">
        <f>BU17*BV17</f>
        <v>8451977400.0378332</v>
      </c>
      <c r="BX17" s="400">
        <f>BT17</f>
        <v>1</v>
      </c>
      <c r="BY17" s="453">
        <f>BW17*BX17</f>
        <v>8451977400.0378332</v>
      </c>
      <c r="BZ17" s="400">
        <f>BV17</f>
        <v>1</v>
      </c>
      <c r="CA17" s="453">
        <f>BY17*BZ17</f>
        <v>8451977400.0378332</v>
      </c>
      <c r="CB17" s="400">
        <f>BX17</f>
        <v>1</v>
      </c>
      <c r="CC17" s="453">
        <f>CA17*CB17</f>
        <v>8451977400.0378332</v>
      </c>
      <c r="CD17" s="400">
        <f>BZ17</f>
        <v>1</v>
      </c>
      <c r="CE17" s="453">
        <f>CC17*CD17</f>
        <v>8451977400.0378332</v>
      </c>
      <c r="CF17" s="400">
        <f>CB17</f>
        <v>1</v>
      </c>
      <c r="CG17" s="453">
        <f>CE17*CF17</f>
        <v>8451977400.0378332</v>
      </c>
      <c r="CH17" s="400">
        <f>CD17</f>
        <v>1</v>
      </c>
      <c r="CI17" s="453">
        <f>CG17*CH17</f>
        <v>8451977400.0378332</v>
      </c>
      <c r="CJ17" s="400">
        <f>BX17</f>
        <v>1</v>
      </c>
      <c r="CK17" s="453">
        <f>CI17*CJ17</f>
        <v>8451977400.0378332</v>
      </c>
      <c r="CL17" s="400">
        <f>BZ17</f>
        <v>1</v>
      </c>
      <c r="CM17" s="453">
        <f>CK17*CL17</f>
        <v>8451977400.0378332</v>
      </c>
      <c r="CN17" s="400">
        <f>CJ17</f>
        <v>1</v>
      </c>
      <c r="CO17" s="453">
        <f>CM17*CN17</f>
        <v>8451977400.0378332</v>
      </c>
      <c r="CP17" s="400">
        <f>CL17</f>
        <v>1</v>
      </c>
      <c r="CQ17" s="453">
        <f>CO17*CP17</f>
        <v>8451977400.0378332</v>
      </c>
      <c r="CR17" s="400">
        <f>AB17</f>
        <v>1</v>
      </c>
      <c r="CS17" s="453">
        <f>CQ17*CR17</f>
        <v>8451977400.0378332</v>
      </c>
      <c r="CT17" s="400">
        <f>AD17</f>
        <v>1</v>
      </c>
      <c r="CU17" s="453">
        <f>CS17*CT17</f>
        <v>8451977400.0378332</v>
      </c>
      <c r="CV17" s="400">
        <f>CR17</f>
        <v>1</v>
      </c>
      <c r="CW17" s="453">
        <f>CU17*CV17</f>
        <v>8451977400.0378332</v>
      </c>
      <c r="CX17" s="400">
        <f>CT17</f>
        <v>1</v>
      </c>
      <c r="CY17" s="453">
        <f>CW17*CX17</f>
        <v>8451977400.0378332</v>
      </c>
      <c r="CZ17" s="719">
        <f>G17+I17+M17+Q17+U17+Y17+AC17+AG17+AK17+AO17+AS17+AW17+BA17+BE17+BI17+BM17+BQ17+BU17+BY17+CC17+CG17+CK17+CO17+CS17+CW17</f>
        <v>211299435000.94586</v>
      </c>
      <c r="DB17" s="593">
        <f>CV17</f>
        <v>1</v>
      </c>
      <c r="DC17" s="453">
        <f>CY17*DB17</f>
        <v>8451977400.0378332</v>
      </c>
      <c r="DD17" s="623"/>
      <c r="DE17" s="624"/>
      <c r="DF17" s="628"/>
      <c r="DV17" s="974" t="s">
        <v>872</v>
      </c>
      <c r="DX17" s="974" t="s">
        <v>872</v>
      </c>
      <c r="EA17" s="974" t="s">
        <v>872</v>
      </c>
    </row>
    <row r="18" spans="1:141"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23"/>
      <c r="DE18" s="623"/>
      <c r="DF18" s="628"/>
      <c r="DV18" s="974" t="s">
        <v>5</v>
      </c>
      <c r="DX18" s="974" t="s">
        <v>7</v>
      </c>
      <c r="EA18" s="77" t="s">
        <v>968</v>
      </c>
    </row>
    <row r="19" spans="1:141"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23"/>
      <c r="DE19" s="623"/>
      <c r="DF19" s="628"/>
      <c r="DI19" s="473"/>
      <c r="DJ19" s="473"/>
      <c r="DK19" s="473"/>
      <c r="DL19" s="473"/>
      <c r="DM19" s="473"/>
      <c r="DN19" s="473"/>
      <c r="DO19" s="473"/>
      <c r="DP19" s="473"/>
      <c r="DQ19" s="473"/>
      <c r="DR19" s="473"/>
      <c r="DS19" s="970"/>
      <c r="DT19" s="485"/>
      <c r="DU19" s="485"/>
      <c r="DV19" s="485" t="s">
        <v>961</v>
      </c>
      <c r="DW19" s="485" t="s">
        <v>967</v>
      </c>
      <c r="DX19" s="485" t="s">
        <v>59</v>
      </c>
      <c r="DY19" s="485" t="s">
        <v>1343</v>
      </c>
      <c r="DZ19" s="485" t="s">
        <v>1344</v>
      </c>
      <c r="EA19" s="485"/>
      <c r="EB19" s="473"/>
      <c r="EC19" s="485" t="s">
        <v>966</v>
      </c>
      <c r="ED19" s="485" t="s">
        <v>974</v>
      </c>
      <c r="EE19" s="485" t="s">
        <v>965</v>
      </c>
      <c r="EF19" s="485" t="s">
        <v>965</v>
      </c>
      <c r="EG19" s="485" t="s">
        <v>1345</v>
      </c>
      <c r="EH19" s="305" t="s">
        <v>1286</v>
      </c>
      <c r="EI19" s="304"/>
    </row>
    <row r="20" spans="1:141"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7"/>
      <c r="BQ20" s="450" t="s">
        <v>285</v>
      </c>
      <c r="BR20" s="122"/>
      <c r="BS20" s="8"/>
      <c r="BT20" s="7"/>
      <c r="BU20" s="450" t="s">
        <v>285</v>
      </c>
      <c r="BV20" s="122"/>
      <c r="BW20" s="8"/>
      <c r="BX20" s="7"/>
      <c r="BY20" s="450" t="s">
        <v>285</v>
      </c>
      <c r="BZ20" s="122"/>
      <c r="CA20" s="8"/>
      <c r="CB20" s="7"/>
      <c r="CC20" s="450" t="s">
        <v>285</v>
      </c>
      <c r="CD20" s="122"/>
      <c r="CE20" s="8"/>
      <c r="CF20" s="7"/>
      <c r="CG20" s="450" t="s">
        <v>285</v>
      </c>
      <c r="CH20" s="122"/>
      <c r="CI20" s="8"/>
      <c r="CJ20" s="7"/>
      <c r="CK20" s="450" t="s">
        <v>285</v>
      </c>
      <c r="CL20" s="122"/>
      <c r="CM20" s="8"/>
      <c r="CN20" s="7"/>
      <c r="CO20" s="450" t="s">
        <v>285</v>
      </c>
      <c r="CP20" s="122"/>
      <c r="CQ20" s="8"/>
      <c r="CR20" s="7"/>
      <c r="CS20" s="450" t="s">
        <v>285</v>
      </c>
      <c r="CT20" s="122"/>
      <c r="CU20" s="8"/>
      <c r="CV20" s="122"/>
      <c r="CW20" s="450" t="s">
        <v>285</v>
      </c>
      <c r="CX20" s="122"/>
      <c r="CY20" s="8"/>
      <c r="CZ20" s="126"/>
      <c r="DB20" s="122"/>
      <c r="DC20" s="450" t="s">
        <v>285</v>
      </c>
      <c r="DD20" s="623"/>
      <c r="DE20" s="623"/>
      <c r="DF20" s="628"/>
      <c r="DI20" s="473"/>
      <c r="DJ20" s="473"/>
      <c r="DK20" s="473"/>
      <c r="DL20" s="473"/>
      <c r="DM20" s="473"/>
      <c r="DN20" s="473"/>
      <c r="DO20" s="473"/>
      <c r="DP20" s="473"/>
      <c r="DQ20" s="473"/>
      <c r="DR20" s="473"/>
      <c r="DS20" s="970"/>
      <c r="DT20" s="485"/>
      <c r="DU20" s="485"/>
      <c r="DV20" s="971">
        <f>'POP Dimensions'!C15</f>
        <v>10737418.24</v>
      </c>
      <c r="DW20" s="954">
        <v>64</v>
      </c>
      <c r="DX20" s="972">
        <f>DW20*DV20</f>
        <v>687194767.36000001</v>
      </c>
      <c r="DY20" s="954">
        <v>16</v>
      </c>
      <c r="DZ20" s="954"/>
      <c r="EA20" s="971">
        <f>DX20*DY20</f>
        <v>10995116277.76</v>
      </c>
      <c r="EB20" s="473"/>
      <c r="EC20" s="485" t="s">
        <v>785</v>
      </c>
      <c r="ED20" s="485"/>
      <c r="EE20" s="485" t="s">
        <v>962</v>
      </c>
      <c r="EF20" s="485" t="s">
        <v>1341</v>
      </c>
      <c r="EG20" s="485" t="s">
        <v>1342</v>
      </c>
      <c r="EH20" s="305"/>
      <c r="EI20" s="304"/>
    </row>
    <row r="21" spans="1:141" ht="16.2" thickBot="1" x14ac:dyDescent="0.35">
      <c r="C21" s="149" t="s">
        <v>737</v>
      </c>
      <c r="D21" s="1214">
        <v>0.32634660207039301</v>
      </c>
      <c r="E21" s="151">
        <f>E11*D21</f>
        <v>4903598409.3832922</v>
      </c>
      <c r="F21" s="1092">
        <v>0.3</v>
      </c>
      <c r="G21" s="151">
        <f>E21*F21</f>
        <v>1471079522.8149877</v>
      </c>
      <c r="H21" s="465">
        <v>1</v>
      </c>
      <c r="I21" s="151">
        <f>G21*H21</f>
        <v>1471079522.8149877</v>
      </c>
      <c r="J21" s="465">
        <v>1</v>
      </c>
      <c r="K21" s="444">
        <f>I21*J21</f>
        <v>1471079522.8149877</v>
      </c>
      <c r="L21" s="152">
        <f>H21</f>
        <v>1</v>
      </c>
      <c r="M21" s="444">
        <f>K21*L21</f>
        <v>1471079522.8149877</v>
      </c>
      <c r="N21" s="152">
        <f>J21</f>
        <v>1</v>
      </c>
      <c r="O21" s="444">
        <f>M21*N21</f>
        <v>1471079522.8149877</v>
      </c>
      <c r="P21" s="152">
        <f>L21</f>
        <v>1</v>
      </c>
      <c r="Q21" s="444">
        <f>O21*P21</f>
        <v>1471079522.8149877</v>
      </c>
      <c r="R21" s="152">
        <f>N21</f>
        <v>1</v>
      </c>
      <c r="S21" s="444">
        <f>Q21*R21</f>
        <v>1471079522.8149877</v>
      </c>
      <c r="T21" s="152">
        <f>P21</f>
        <v>1</v>
      </c>
      <c r="U21" s="444">
        <f>S21*T21</f>
        <v>1471079522.8149877</v>
      </c>
      <c r="V21" s="152">
        <f>R21</f>
        <v>1</v>
      </c>
      <c r="W21" s="444">
        <f>U21*V21</f>
        <v>1471079522.8149877</v>
      </c>
      <c r="X21" s="152">
        <f>T21</f>
        <v>1</v>
      </c>
      <c r="Y21" s="444">
        <f>W21*X21</f>
        <v>1471079522.8149877</v>
      </c>
      <c r="Z21" s="152">
        <f>V21</f>
        <v>1</v>
      </c>
      <c r="AA21" s="444">
        <f>Y21*Z21</f>
        <v>1471079522.8149877</v>
      </c>
      <c r="AB21" s="152">
        <f>X21</f>
        <v>1</v>
      </c>
      <c r="AC21" s="444">
        <f>AA21*AB21</f>
        <v>1471079522.8149877</v>
      </c>
      <c r="AD21" s="152">
        <f>Z21</f>
        <v>1</v>
      </c>
      <c r="AE21" s="444">
        <f>AC21*AD21</f>
        <v>1471079522.8149877</v>
      </c>
      <c r="AF21" s="152">
        <f>AB21</f>
        <v>1</v>
      </c>
      <c r="AG21" s="444">
        <f>AE21*AF21</f>
        <v>1471079522.8149877</v>
      </c>
      <c r="AH21" s="152">
        <f>AD21</f>
        <v>1</v>
      </c>
      <c r="AI21" s="444">
        <f>AG21*AH21</f>
        <v>1471079522.8149877</v>
      </c>
      <c r="AJ21" s="152">
        <f>AF21</f>
        <v>1</v>
      </c>
      <c r="AK21" s="444">
        <f>AI21*AJ21</f>
        <v>1471079522.8149877</v>
      </c>
      <c r="AL21" s="152">
        <f>AH21</f>
        <v>1</v>
      </c>
      <c r="AM21" s="444">
        <f>AK21*AL21</f>
        <v>1471079522.8149877</v>
      </c>
      <c r="AN21" s="152">
        <f>AJ21</f>
        <v>1</v>
      </c>
      <c r="AO21" s="444">
        <f>AM21*AN21</f>
        <v>1471079522.8149877</v>
      </c>
      <c r="AP21" s="152">
        <f>AL21</f>
        <v>1</v>
      </c>
      <c r="AQ21" s="444">
        <f>AO21*AP21</f>
        <v>1471079522.8149877</v>
      </c>
      <c r="AR21" s="152">
        <f>AN21</f>
        <v>1</v>
      </c>
      <c r="AS21" s="444">
        <f>AQ21*AR21</f>
        <v>1471079522.8149877</v>
      </c>
      <c r="AT21" s="152">
        <f>AP21</f>
        <v>1</v>
      </c>
      <c r="AU21" s="444">
        <f>AS21*AT21</f>
        <v>1471079522.8149877</v>
      </c>
      <c r="AV21" s="152">
        <f>AR21</f>
        <v>1</v>
      </c>
      <c r="AW21" s="444">
        <f>AU21*AV21</f>
        <v>1471079522.8149877</v>
      </c>
      <c r="AX21" s="152">
        <f>AT21</f>
        <v>1</v>
      </c>
      <c r="AY21" s="444">
        <f>AW21*AX21</f>
        <v>1471079522.8149877</v>
      </c>
      <c r="AZ21" s="152">
        <f>AV21</f>
        <v>1</v>
      </c>
      <c r="BA21" s="444">
        <f>AY21*AZ21</f>
        <v>1471079522.8149877</v>
      </c>
      <c r="BB21" s="152">
        <f>AX21</f>
        <v>1</v>
      </c>
      <c r="BC21" s="444">
        <f>BA21*BB21</f>
        <v>1471079522.8149877</v>
      </c>
      <c r="BD21" s="152">
        <f>AR21</f>
        <v>1</v>
      </c>
      <c r="BE21" s="444">
        <f>BC21*BD21</f>
        <v>1471079522.8149877</v>
      </c>
      <c r="BF21" s="152">
        <f>AT21</f>
        <v>1</v>
      </c>
      <c r="BG21" s="444">
        <f>BE21*BF21</f>
        <v>1471079522.8149877</v>
      </c>
      <c r="BH21" s="152">
        <f>BD21</f>
        <v>1</v>
      </c>
      <c r="BI21" s="444">
        <f>BG21*BH21</f>
        <v>1471079522.8149877</v>
      </c>
      <c r="BJ21" s="152">
        <f>BF21</f>
        <v>1</v>
      </c>
      <c r="BK21" s="444">
        <f>BI21*BJ21</f>
        <v>1471079522.8149877</v>
      </c>
      <c r="BL21" s="152">
        <f>BH21</f>
        <v>1</v>
      </c>
      <c r="BM21" s="444">
        <f>BK21*BL21</f>
        <v>1471079522.8149877</v>
      </c>
      <c r="BN21" s="152">
        <f>BJ21</f>
        <v>1</v>
      </c>
      <c r="BO21" s="444">
        <f>BM21*BN21</f>
        <v>1471079522.8149877</v>
      </c>
      <c r="BP21" s="152">
        <f>BL21</f>
        <v>1</v>
      </c>
      <c r="BQ21" s="444">
        <f>BO21*BP21</f>
        <v>1471079522.8149877</v>
      </c>
      <c r="BR21" s="152">
        <f>BN21</f>
        <v>1</v>
      </c>
      <c r="BS21" s="444">
        <f>BQ21*BR21</f>
        <v>1471079522.8149877</v>
      </c>
      <c r="BT21" s="152">
        <f>BP21</f>
        <v>1</v>
      </c>
      <c r="BU21" s="444">
        <f>BS21*BT21</f>
        <v>1471079522.8149877</v>
      </c>
      <c r="BV21" s="152">
        <f>BR21</f>
        <v>1</v>
      </c>
      <c r="BW21" s="444">
        <f>BU21*BV21</f>
        <v>1471079522.8149877</v>
      </c>
      <c r="BX21" s="152">
        <f>BT21</f>
        <v>1</v>
      </c>
      <c r="BY21" s="444">
        <f>BW21*BX21</f>
        <v>1471079522.8149877</v>
      </c>
      <c r="BZ21" s="152">
        <f>BV21</f>
        <v>1</v>
      </c>
      <c r="CA21" s="444">
        <f>BY21*BZ21</f>
        <v>1471079522.8149877</v>
      </c>
      <c r="CB21" s="152">
        <f>BX21</f>
        <v>1</v>
      </c>
      <c r="CC21" s="444">
        <f>CA21*CB21</f>
        <v>1471079522.8149877</v>
      </c>
      <c r="CD21" s="152">
        <f>BZ21</f>
        <v>1</v>
      </c>
      <c r="CE21" s="444">
        <f>CC21*CD21</f>
        <v>1471079522.8149877</v>
      </c>
      <c r="CF21" s="152">
        <f>CB21</f>
        <v>1</v>
      </c>
      <c r="CG21" s="444">
        <f>CE21*CF21</f>
        <v>1471079522.8149877</v>
      </c>
      <c r="CH21" s="152">
        <f>CD21</f>
        <v>1</v>
      </c>
      <c r="CI21" s="444">
        <f>CG21*CH21</f>
        <v>1471079522.8149877</v>
      </c>
      <c r="CJ21" s="152">
        <f>BX21</f>
        <v>1</v>
      </c>
      <c r="CK21" s="444">
        <f>CI21*CJ21</f>
        <v>1471079522.8149877</v>
      </c>
      <c r="CL21" s="152">
        <f>BZ21</f>
        <v>1</v>
      </c>
      <c r="CM21" s="444">
        <f>CK21*CL21</f>
        <v>1471079522.8149877</v>
      </c>
      <c r="CN21" s="152">
        <f>CJ21</f>
        <v>1</v>
      </c>
      <c r="CO21" s="444">
        <f>CM21*CN21</f>
        <v>1471079522.8149877</v>
      </c>
      <c r="CP21" s="152">
        <f>CL21</f>
        <v>1</v>
      </c>
      <c r="CQ21" s="444">
        <f>CO21*CP21</f>
        <v>1471079522.8149877</v>
      </c>
      <c r="CR21" s="152">
        <f>AB21</f>
        <v>1</v>
      </c>
      <c r="CS21" s="444">
        <f>CQ21*CR21</f>
        <v>1471079522.8149877</v>
      </c>
      <c r="CT21" s="152">
        <f>AD21</f>
        <v>1</v>
      </c>
      <c r="CU21" s="444">
        <f>CS21*CT21</f>
        <v>1471079522.8149877</v>
      </c>
      <c r="CV21" s="152">
        <f>CR21</f>
        <v>1</v>
      </c>
      <c r="CW21" s="444">
        <f>CU21*CV21</f>
        <v>1471079522.8149877</v>
      </c>
      <c r="CX21" s="152">
        <f>CT21</f>
        <v>1</v>
      </c>
      <c r="CY21" s="444">
        <f>CW21*CX21</f>
        <v>1471079522.8149877</v>
      </c>
      <c r="CZ21" s="719">
        <f>G21+I21+M21+Q21+U21+Y21+AC21+AG21+AK21+AO21+AS21+AW21+BA21+BE21+BI21+BM21+BQ21+BU21+BY21+CC21+CG21+CK21+CO21+CS21+CW21</f>
        <v>36776988070.374687</v>
      </c>
      <c r="DB21" s="594">
        <f>CV21</f>
        <v>1</v>
      </c>
      <c r="DC21" s="444">
        <f>CY21*DB21</f>
        <v>1471079522.8149877</v>
      </c>
      <c r="DD21" s="623"/>
      <c r="DE21" s="624"/>
      <c r="DF21" s="628"/>
      <c r="DI21" s="473"/>
      <c r="DY21" s="976"/>
      <c r="DZ21" s="976"/>
      <c r="EI21" s="913"/>
    </row>
    <row r="22" spans="1:141"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142"/>
      <c r="BQ22" s="449" t="s">
        <v>738</v>
      </c>
      <c r="BR22" s="433"/>
      <c r="BS22" s="434"/>
      <c r="BT22" s="142"/>
      <c r="BU22" s="449" t="s">
        <v>738</v>
      </c>
      <c r="BV22" s="433"/>
      <c r="BW22" s="434"/>
      <c r="BX22" s="142"/>
      <c r="BY22" s="449" t="s">
        <v>738</v>
      </c>
      <c r="BZ22" s="433"/>
      <c r="CA22" s="434"/>
      <c r="CB22" s="142"/>
      <c r="CC22" s="449" t="s">
        <v>738</v>
      </c>
      <c r="CD22" s="433"/>
      <c r="CE22" s="434"/>
      <c r="CF22" s="142"/>
      <c r="CG22" s="449" t="s">
        <v>738</v>
      </c>
      <c r="CH22" s="433"/>
      <c r="CI22" s="434"/>
      <c r="CJ22" s="142"/>
      <c r="CK22" s="449" t="s">
        <v>738</v>
      </c>
      <c r="CL22" s="433"/>
      <c r="CM22" s="434"/>
      <c r="CN22" s="142"/>
      <c r="CO22" s="449" t="s">
        <v>738</v>
      </c>
      <c r="CP22" s="433"/>
      <c r="CQ22" s="434"/>
      <c r="CR22" s="142"/>
      <c r="CS22" s="449" t="s">
        <v>738</v>
      </c>
      <c r="CT22" s="433"/>
      <c r="CU22" s="434"/>
      <c r="CV22" s="437"/>
      <c r="CW22" s="449" t="s">
        <v>738</v>
      </c>
      <c r="CX22" s="433"/>
      <c r="CY22" s="434"/>
      <c r="CZ22" s="180"/>
      <c r="DB22" s="437"/>
      <c r="DC22" s="449" t="s">
        <v>738</v>
      </c>
      <c r="DD22" s="623"/>
      <c r="DE22" s="623"/>
      <c r="DF22" s="628"/>
      <c r="DI22" s="473"/>
      <c r="DP22" s="1" t="s">
        <v>955</v>
      </c>
      <c r="DT22" s="581" t="s">
        <v>964</v>
      </c>
      <c r="DU22" s="75"/>
      <c r="DV22" s="75"/>
      <c r="DW22" s="986"/>
      <c r="DX22" s="896"/>
      <c r="DY22" s="980"/>
      <c r="DZ22" s="980"/>
      <c r="EA22" s="75"/>
      <c r="EC22" s="75"/>
      <c r="ED22" s="76"/>
      <c r="EE22" s="75"/>
      <c r="EF22" s="76">
        <f>EF31</f>
        <v>1372242051.072</v>
      </c>
      <c r="EG22" s="75"/>
      <c r="EH22" s="910"/>
      <c r="EI22" s="304"/>
    </row>
    <row r="23" spans="1:141" ht="16.2" thickBot="1" x14ac:dyDescent="0.35">
      <c r="C23" s="141"/>
      <c r="D23" s="94">
        <f>SUM(D14:D21)</f>
        <v>1</v>
      </c>
      <c r="E23" s="371"/>
      <c r="F23" s="1093">
        <v>0.25</v>
      </c>
      <c r="G23" s="432">
        <f>E21*F23</f>
        <v>1225899602.345823</v>
      </c>
      <c r="H23" s="466">
        <v>1</v>
      </c>
      <c r="I23" s="432">
        <f>G23*H23</f>
        <v>1225899602.345823</v>
      </c>
      <c r="J23" s="466">
        <v>1</v>
      </c>
      <c r="K23" s="449">
        <f>I23*J23</f>
        <v>1225899602.345823</v>
      </c>
      <c r="L23" s="430">
        <f>H23</f>
        <v>1</v>
      </c>
      <c r="M23" s="449">
        <f>K23*L23</f>
        <v>1225899602.345823</v>
      </c>
      <c r="N23" s="430">
        <f>J23</f>
        <v>1</v>
      </c>
      <c r="O23" s="449">
        <f>M23*N23</f>
        <v>1225899602.345823</v>
      </c>
      <c r="P23" s="430">
        <f>L23</f>
        <v>1</v>
      </c>
      <c r="Q23" s="449">
        <f>O23*P23</f>
        <v>1225899602.345823</v>
      </c>
      <c r="R23" s="430">
        <f>N23</f>
        <v>1</v>
      </c>
      <c r="S23" s="449">
        <f>Q23*R23</f>
        <v>1225899602.345823</v>
      </c>
      <c r="T23" s="430">
        <f>P23</f>
        <v>1</v>
      </c>
      <c r="U23" s="449">
        <f>S23*T23</f>
        <v>1225899602.345823</v>
      </c>
      <c r="V23" s="430">
        <f>R23</f>
        <v>1</v>
      </c>
      <c r="W23" s="449">
        <f>U23*V23</f>
        <v>1225899602.345823</v>
      </c>
      <c r="X23" s="430">
        <f>T23</f>
        <v>1</v>
      </c>
      <c r="Y23" s="449">
        <f>W23*X23</f>
        <v>1225899602.345823</v>
      </c>
      <c r="Z23" s="430">
        <f>V23</f>
        <v>1</v>
      </c>
      <c r="AA23" s="449">
        <f>Y23*Z23</f>
        <v>1225899602.345823</v>
      </c>
      <c r="AB23" s="430">
        <f>X23</f>
        <v>1</v>
      </c>
      <c r="AC23" s="449">
        <f>AA23*AB23</f>
        <v>1225899602.345823</v>
      </c>
      <c r="AD23" s="430">
        <f>Z23</f>
        <v>1</v>
      </c>
      <c r="AE23" s="449">
        <f>AC23*AD23</f>
        <v>1225899602.345823</v>
      </c>
      <c r="AF23" s="430">
        <f>AB23</f>
        <v>1</v>
      </c>
      <c r="AG23" s="449">
        <f>AE23*AF23</f>
        <v>1225899602.345823</v>
      </c>
      <c r="AH23" s="430">
        <f>AD23</f>
        <v>1</v>
      </c>
      <c r="AI23" s="449">
        <f>AG23*AH23</f>
        <v>1225899602.345823</v>
      </c>
      <c r="AJ23" s="430">
        <f>AF23</f>
        <v>1</v>
      </c>
      <c r="AK23" s="449">
        <f>AI23*AJ23</f>
        <v>1225899602.345823</v>
      </c>
      <c r="AL23" s="430">
        <f>AH23</f>
        <v>1</v>
      </c>
      <c r="AM23" s="449">
        <f>AK23*AL23</f>
        <v>1225899602.345823</v>
      </c>
      <c r="AN23" s="430">
        <f>AJ23</f>
        <v>1</v>
      </c>
      <c r="AO23" s="449">
        <f>AM23*AN23</f>
        <v>1225899602.345823</v>
      </c>
      <c r="AP23" s="430">
        <f>AL23</f>
        <v>1</v>
      </c>
      <c r="AQ23" s="449">
        <f>AO23*AP23</f>
        <v>1225899602.345823</v>
      </c>
      <c r="AR23" s="430">
        <f>AN23</f>
        <v>1</v>
      </c>
      <c r="AS23" s="449">
        <f>AQ23*AR23</f>
        <v>1225899602.345823</v>
      </c>
      <c r="AT23" s="430">
        <f>AP23</f>
        <v>1</v>
      </c>
      <c r="AU23" s="449">
        <f>AS23*AT23</f>
        <v>1225899602.345823</v>
      </c>
      <c r="AV23" s="430">
        <f>AR23</f>
        <v>1</v>
      </c>
      <c r="AW23" s="449">
        <f>AU23*AV23</f>
        <v>1225899602.345823</v>
      </c>
      <c r="AX23" s="430">
        <f>AT23</f>
        <v>1</v>
      </c>
      <c r="AY23" s="449">
        <f>AW23*AX23</f>
        <v>1225899602.345823</v>
      </c>
      <c r="AZ23" s="430">
        <f>AV23</f>
        <v>1</v>
      </c>
      <c r="BA23" s="449">
        <f>AY23*AZ23</f>
        <v>1225899602.345823</v>
      </c>
      <c r="BB23" s="430">
        <f>AX23</f>
        <v>1</v>
      </c>
      <c r="BC23" s="449">
        <f>BA23*BB23</f>
        <v>1225899602.345823</v>
      </c>
      <c r="BD23" s="430">
        <f>AR23</f>
        <v>1</v>
      </c>
      <c r="BE23" s="449">
        <f>BC23*BD23</f>
        <v>1225899602.345823</v>
      </c>
      <c r="BF23" s="430">
        <f>AT23</f>
        <v>1</v>
      </c>
      <c r="BG23" s="449">
        <f>BE23*BF23</f>
        <v>1225899602.345823</v>
      </c>
      <c r="BH23" s="430">
        <f>BD23</f>
        <v>1</v>
      </c>
      <c r="BI23" s="449">
        <f>BG23*BH23</f>
        <v>1225899602.345823</v>
      </c>
      <c r="BJ23" s="430">
        <f>BF23</f>
        <v>1</v>
      </c>
      <c r="BK23" s="449">
        <f>BI23*BJ23</f>
        <v>1225899602.345823</v>
      </c>
      <c r="BL23" s="430">
        <f>BH23</f>
        <v>1</v>
      </c>
      <c r="BM23" s="449">
        <f>BK23*BL23</f>
        <v>1225899602.345823</v>
      </c>
      <c r="BN23" s="430">
        <f>BJ23</f>
        <v>1</v>
      </c>
      <c r="BO23" s="449">
        <f>BM23*BN23</f>
        <v>1225899602.345823</v>
      </c>
      <c r="BP23" s="430">
        <f>BL23</f>
        <v>1</v>
      </c>
      <c r="BQ23" s="449">
        <f>BO23*BP23</f>
        <v>1225899602.345823</v>
      </c>
      <c r="BR23" s="430">
        <f>BN23</f>
        <v>1</v>
      </c>
      <c r="BS23" s="449">
        <f>BQ23*BR23</f>
        <v>1225899602.345823</v>
      </c>
      <c r="BT23" s="430">
        <f>BP23</f>
        <v>1</v>
      </c>
      <c r="BU23" s="449">
        <f>BS23*BT23</f>
        <v>1225899602.345823</v>
      </c>
      <c r="BV23" s="430">
        <f>BR23</f>
        <v>1</v>
      </c>
      <c r="BW23" s="449">
        <f>BU23*BV23</f>
        <v>1225899602.345823</v>
      </c>
      <c r="BX23" s="430">
        <f>BT23</f>
        <v>1</v>
      </c>
      <c r="BY23" s="449">
        <f>BW23*BX23</f>
        <v>1225899602.345823</v>
      </c>
      <c r="BZ23" s="430">
        <f>BV23</f>
        <v>1</v>
      </c>
      <c r="CA23" s="449">
        <f>BY23*BZ23</f>
        <v>1225899602.345823</v>
      </c>
      <c r="CB23" s="430">
        <f>BX23</f>
        <v>1</v>
      </c>
      <c r="CC23" s="449">
        <f>CA23*CB23</f>
        <v>1225899602.345823</v>
      </c>
      <c r="CD23" s="430">
        <f>BZ23</f>
        <v>1</v>
      </c>
      <c r="CE23" s="449">
        <f>CC23*CD23</f>
        <v>1225899602.345823</v>
      </c>
      <c r="CF23" s="430">
        <f>CB23</f>
        <v>1</v>
      </c>
      <c r="CG23" s="449">
        <f>CE23*CF23</f>
        <v>1225899602.345823</v>
      </c>
      <c r="CH23" s="430">
        <f>CD23</f>
        <v>1</v>
      </c>
      <c r="CI23" s="449">
        <f>CG23*CH23</f>
        <v>1225899602.345823</v>
      </c>
      <c r="CJ23" s="430">
        <f>BX23</f>
        <v>1</v>
      </c>
      <c r="CK23" s="449">
        <f>CI23*CJ23</f>
        <v>1225899602.345823</v>
      </c>
      <c r="CL23" s="430">
        <f>BZ23</f>
        <v>1</v>
      </c>
      <c r="CM23" s="449">
        <f>CK23*CL23</f>
        <v>1225899602.345823</v>
      </c>
      <c r="CN23" s="430">
        <f>CJ23</f>
        <v>1</v>
      </c>
      <c r="CO23" s="449">
        <f>CM23*CN23</f>
        <v>1225899602.345823</v>
      </c>
      <c r="CP23" s="430">
        <f>CL23</f>
        <v>1</v>
      </c>
      <c r="CQ23" s="449">
        <f>CO23*CP23</f>
        <v>1225899602.345823</v>
      </c>
      <c r="CR23" s="430">
        <f>AB23</f>
        <v>1</v>
      </c>
      <c r="CS23" s="449">
        <f>CQ23*CR23</f>
        <v>1225899602.345823</v>
      </c>
      <c r="CT23" s="430">
        <f>AD23</f>
        <v>1</v>
      </c>
      <c r="CU23" s="449">
        <f>CS23*CT23</f>
        <v>1225899602.345823</v>
      </c>
      <c r="CV23" s="430">
        <f>CR23</f>
        <v>1</v>
      </c>
      <c r="CW23" s="449">
        <f>CU23*CV23</f>
        <v>1225899602.345823</v>
      </c>
      <c r="CX23" s="430">
        <f>CT23</f>
        <v>1</v>
      </c>
      <c r="CY23" s="449">
        <f>CW23*CX23</f>
        <v>1225899602.345823</v>
      </c>
      <c r="CZ23" s="719">
        <f>G23+I23+M23+Q23+U23+Y23+AC23+AG23+AK23+AO23+AS23+AW23+BA23+BE23+BI23+BM23+BQ23+BU23+BY23+CC23+CG23+CK23+CO23+CS23+CW23</f>
        <v>30647490058.645561</v>
      </c>
      <c r="DB23" s="595">
        <f>CV23</f>
        <v>1</v>
      </c>
      <c r="DC23" s="449">
        <f>CY23*DB23</f>
        <v>1225899602.345823</v>
      </c>
      <c r="DD23" s="623"/>
      <c r="DE23" s="624"/>
      <c r="DF23" s="628"/>
      <c r="DI23" s="473"/>
      <c r="DN23" s="982" t="s">
        <v>989</v>
      </c>
      <c r="DO23" s="983">
        <v>2016</v>
      </c>
      <c r="DP23" s="910">
        <v>75543543000000</v>
      </c>
      <c r="DQ23" s="984">
        <v>2.5000000000000001E-2</v>
      </c>
      <c r="DR23" s="910">
        <f>DP23*DQ23</f>
        <v>1888588575000</v>
      </c>
      <c r="DT23" s="75"/>
      <c r="DU23" s="968">
        <v>2016</v>
      </c>
      <c r="DV23" s="305">
        <f>DV20</f>
        <v>10737418.24</v>
      </c>
      <c r="DW23" s="986">
        <v>64</v>
      </c>
      <c r="DX23" s="411">
        <f t="shared" ref="DX23:DX35" si="0">DW23*DV23</f>
        <v>687194767.36000001</v>
      </c>
      <c r="DY23" s="980"/>
      <c r="DZ23" s="980"/>
      <c r="EA23" s="305">
        <f t="shared" ref="EA23:EA35" si="1">DX23*DY23</f>
        <v>0</v>
      </c>
      <c r="EC23" s="75"/>
      <c r="ED23" s="76"/>
      <c r="EE23" s="75"/>
      <c r="EF23" s="953">
        <v>25000</v>
      </c>
      <c r="EG23" s="968" t="s">
        <v>1349</v>
      </c>
      <c r="EH23" s="910"/>
      <c r="EI23" s="981">
        <v>2016</v>
      </c>
    </row>
    <row r="24" spans="1:141"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7"/>
      <c r="BQ24" s="448" t="s">
        <v>294</v>
      </c>
      <c r="BR24" s="122"/>
      <c r="BS24" s="8"/>
      <c r="BT24" s="7"/>
      <c r="BU24" s="448" t="s">
        <v>294</v>
      </c>
      <c r="BV24" s="122"/>
      <c r="BW24" s="8"/>
      <c r="BX24" s="7"/>
      <c r="BY24" s="448" t="s">
        <v>294</v>
      </c>
      <c r="BZ24" s="122"/>
      <c r="CA24" s="8"/>
      <c r="CB24" s="7"/>
      <c r="CC24" s="448" t="s">
        <v>294</v>
      </c>
      <c r="CD24" s="122"/>
      <c r="CE24" s="8"/>
      <c r="CF24" s="7"/>
      <c r="CG24" s="448" t="s">
        <v>294</v>
      </c>
      <c r="CH24" s="122"/>
      <c r="CI24" s="8"/>
      <c r="CJ24" s="7"/>
      <c r="CK24" s="448" t="s">
        <v>294</v>
      </c>
      <c r="CL24" s="122"/>
      <c r="CM24" s="8"/>
      <c r="CN24" s="7"/>
      <c r="CO24" s="448" t="s">
        <v>294</v>
      </c>
      <c r="CP24" s="122"/>
      <c r="CQ24" s="8"/>
      <c r="CR24" s="7"/>
      <c r="CS24" s="448" t="s">
        <v>294</v>
      </c>
      <c r="CT24" s="122"/>
      <c r="CU24" s="8"/>
      <c r="CV24" s="122"/>
      <c r="CW24" s="448" t="s">
        <v>294</v>
      </c>
      <c r="CX24" s="122"/>
      <c r="CY24" s="8"/>
      <c r="CZ24" s="126"/>
      <c r="DB24" s="122"/>
      <c r="DC24" s="448" t="s">
        <v>294</v>
      </c>
      <c r="DD24" s="623"/>
      <c r="DE24" s="623"/>
      <c r="DF24" s="628"/>
      <c r="DI24" s="473"/>
      <c r="DN24" s="982" t="s">
        <v>989</v>
      </c>
      <c r="DO24" s="983">
        <f>DO23+1</f>
        <v>2017</v>
      </c>
      <c r="DP24" s="910">
        <f>DP23+DR23</f>
        <v>77432131575000</v>
      </c>
      <c r="DQ24" s="985">
        <f>DQ23</f>
        <v>2.5000000000000001E-2</v>
      </c>
      <c r="DR24" s="910">
        <f>DP24*DQ24</f>
        <v>1935803289375</v>
      </c>
      <c r="DT24" s="75"/>
      <c r="DU24" s="968">
        <f>DU23+1</f>
        <v>2017</v>
      </c>
      <c r="DV24" s="305">
        <f>DV20</f>
        <v>10737418.24</v>
      </c>
      <c r="DW24" s="986">
        <v>64</v>
      </c>
      <c r="DX24" s="411">
        <f t="shared" si="0"/>
        <v>687194767.36000001</v>
      </c>
      <c r="DY24" s="980"/>
      <c r="DZ24" s="980"/>
      <c r="EA24" s="305">
        <f t="shared" si="1"/>
        <v>0</v>
      </c>
      <c r="EC24" s="75"/>
      <c r="ED24" s="76"/>
      <c r="EE24" s="75"/>
      <c r="EF24" s="76">
        <f>EF22/EF23</f>
        <v>54889.682042879998</v>
      </c>
      <c r="EG24" s="75"/>
      <c r="EH24" s="910"/>
      <c r="EI24" s="981">
        <f>EI23+1</f>
        <v>2017</v>
      </c>
    </row>
    <row r="25" spans="1:141" ht="16.2" thickBot="1" x14ac:dyDescent="0.35">
      <c r="C25" s="122"/>
      <c r="D25" s="573" t="s">
        <v>1367</v>
      </c>
      <c r="E25" s="7"/>
      <c r="F25" s="1094">
        <v>0.2</v>
      </c>
      <c r="G25" s="99">
        <f>E21*F25</f>
        <v>980719681.87665844</v>
      </c>
      <c r="H25" s="467">
        <v>1</v>
      </c>
      <c r="I25" s="99">
        <f>G25*H25</f>
        <v>980719681.87665844</v>
      </c>
      <c r="J25" s="467">
        <v>1</v>
      </c>
      <c r="K25" s="443">
        <f>I25*J25</f>
        <v>980719681.87665844</v>
      </c>
      <c r="L25" s="153">
        <f>H25</f>
        <v>1</v>
      </c>
      <c r="M25" s="443">
        <f>K25*L25</f>
        <v>980719681.87665844</v>
      </c>
      <c r="N25" s="153">
        <f>J25</f>
        <v>1</v>
      </c>
      <c r="O25" s="443">
        <f>M25*N25</f>
        <v>980719681.87665844</v>
      </c>
      <c r="P25" s="153">
        <f>L25</f>
        <v>1</v>
      </c>
      <c r="Q25" s="443">
        <f>O25*P25</f>
        <v>980719681.87665844</v>
      </c>
      <c r="R25" s="153">
        <f>N25</f>
        <v>1</v>
      </c>
      <c r="S25" s="443">
        <f>Q25*R25</f>
        <v>980719681.87665844</v>
      </c>
      <c r="T25" s="153">
        <f>P25</f>
        <v>1</v>
      </c>
      <c r="U25" s="443">
        <f>S25*T25</f>
        <v>980719681.87665844</v>
      </c>
      <c r="V25" s="153">
        <f>R25</f>
        <v>1</v>
      </c>
      <c r="W25" s="443">
        <f>U25*V25</f>
        <v>980719681.87665844</v>
      </c>
      <c r="X25" s="153">
        <f>T25</f>
        <v>1</v>
      </c>
      <c r="Y25" s="443">
        <f>W25*X25</f>
        <v>980719681.87665844</v>
      </c>
      <c r="Z25" s="153">
        <f>V25</f>
        <v>1</v>
      </c>
      <c r="AA25" s="443">
        <f>Y25*Z25</f>
        <v>980719681.87665844</v>
      </c>
      <c r="AB25" s="153">
        <f>X25</f>
        <v>1</v>
      </c>
      <c r="AC25" s="443">
        <f>AA25*AB25</f>
        <v>980719681.87665844</v>
      </c>
      <c r="AD25" s="153">
        <f>Z25</f>
        <v>1</v>
      </c>
      <c r="AE25" s="443">
        <f>AC25*AD25</f>
        <v>980719681.87665844</v>
      </c>
      <c r="AF25" s="153">
        <f>AB25</f>
        <v>1</v>
      </c>
      <c r="AG25" s="443">
        <f>AE25*AF25</f>
        <v>980719681.87665844</v>
      </c>
      <c r="AH25" s="153">
        <f>AD25</f>
        <v>1</v>
      </c>
      <c r="AI25" s="443">
        <f>AG25*AH25</f>
        <v>980719681.87665844</v>
      </c>
      <c r="AJ25" s="153">
        <f>AF25</f>
        <v>1</v>
      </c>
      <c r="AK25" s="443">
        <f>AI25*AJ25</f>
        <v>980719681.87665844</v>
      </c>
      <c r="AL25" s="153">
        <f>AH25</f>
        <v>1</v>
      </c>
      <c r="AM25" s="443">
        <f>AK25*AL25</f>
        <v>980719681.87665844</v>
      </c>
      <c r="AN25" s="153">
        <f>AJ25</f>
        <v>1</v>
      </c>
      <c r="AO25" s="443">
        <f>AM25*AN25</f>
        <v>980719681.87665844</v>
      </c>
      <c r="AP25" s="153">
        <f>AL25</f>
        <v>1</v>
      </c>
      <c r="AQ25" s="443">
        <f>AO25*AP25</f>
        <v>980719681.87665844</v>
      </c>
      <c r="AR25" s="153">
        <f>AN25</f>
        <v>1</v>
      </c>
      <c r="AS25" s="443">
        <f>AQ25*AR25</f>
        <v>980719681.87665844</v>
      </c>
      <c r="AT25" s="153">
        <f>AP25</f>
        <v>1</v>
      </c>
      <c r="AU25" s="443">
        <f>AS25*AT25</f>
        <v>980719681.87665844</v>
      </c>
      <c r="AV25" s="153">
        <f>AR25</f>
        <v>1</v>
      </c>
      <c r="AW25" s="443">
        <f>AU25*AV25</f>
        <v>980719681.87665844</v>
      </c>
      <c r="AX25" s="153">
        <f>AT25</f>
        <v>1</v>
      </c>
      <c r="AY25" s="443">
        <f>AW25*AX25</f>
        <v>980719681.87665844</v>
      </c>
      <c r="AZ25" s="153">
        <f>AV25</f>
        <v>1</v>
      </c>
      <c r="BA25" s="443">
        <f>AY25*AZ25</f>
        <v>980719681.87665844</v>
      </c>
      <c r="BB25" s="153">
        <f>AX25</f>
        <v>1</v>
      </c>
      <c r="BC25" s="443">
        <f>BA25*BB25</f>
        <v>980719681.87665844</v>
      </c>
      <c r="BD25" s="153">
        <f>AR25</f>
        <v>1</v>
      </c>
      <c r="BE25" s="443">
        <f>BC25*BD25</f>
        <v>980719681.87665844</v>
      </c>
      <c r="BF25" s="153">
        <f>AT25</f>
        <v>1</v>
      </c>
      <c r="BG25" s="443">
        <f>BE25*BF25</f>
        <v>980719681.87665844</v>
      </c>
      <c r="BH25" s="153">
        <f>BD25</f>
        <v>1</v>
      </c>
      <c r="BI25" s="443">
        <f>BG25*BH25</f>
        <v>980719681.87665844</v>
      </c>
      <c r="BJ25" s="153">
        <f>BF25</f>
        <v>1</v>
      </c>
      <c r="BK25" s="443">
        <f>BI25*BJ25</f>
        <v>980719681.87665844</v>
      </c>
      <c r="BL25" s="153">
        <f>BH25</f>
        <v>1</v>
      </c>
      <c r="BM25" s="443">
        <f>BK25*BL25</f>
        <v>980719681.87665844</v>
      </c>
      <c r="BN25" s="153">
        <f>BJ25</f>
        <v>1</v>
      </c>
      <c r="BO25" s="443">
        <f>BM25*BN25</f>
        <v>980719681.87665844</v>
      </c>
      <c r="BP25" s="153">
        <f>BL25</f>
        <v>1</v>
      </c>
      <c r="BQ25" s="443">
        <f>BO25*BP25</f>
        <v>980719681.87665844</v>
      </c>
      <c r="BR25" s="153">
        <f>BN25</f>
        <v>1</v>
      </c>
      <c r="BS25" s="443">
        <f>BQ25*BR25</f>
        <v>980719681.87665844</v>
      </c>
      <c r="BT25" s="153">
        <f>BP25</f>
        <v>1</v>
      </c>
      <c r="BU25" s="443">
        <f>BS25*BT25</f>
        <v>980719681.87665844</v>
      </c>
      <c r="BV25" s="153">
        <f>BR25</f>
        <v>1</v>
      </c>
      <c r="BW25" s="443">
        <f>BU25*BV25</f>
        <v>980719681.87665844</v>
      </c>
      <c r="BX25" s="153">
        <f>BT25</f>
        <v>1</v>
      </c>
      <c r="BY25" s="443">
        <f>BW25*BX25</f>
        <v>980719681.87665844</v>
      </c>
      <c r="BZ25" s="153">
        <f>BV25</f>
        <v>1</v>
      </c>
      <c r="CA25" s="443">
        <f>BY25*BZ25</f>
        <v>980719681.87665844</v>
      </c>
      <c r="CB25" s="153">
        <f>BX25</f>
        <v>1</v>
      </c>
      <c r="CC25" s="443">
        <f>CA25*CB25</f>
        <v>980719681.87665844</v>
      </c>
      <c r="CD25" s="153">
        <f>BZ25</f>
        <v>1</v>
      </c>
      <c r="CE25" s="443">
        <f>CC25*CD25</f>
        <v>980719681.87665844</v>
      </c>
      <c r="CF25" s="153">
        <f>CB25</f>
        <v>1</v>
      </c>
      <c r="CG25" s="443">
        <f>CE25*CF25</f>
        <v>980719681.87665844</v>
      </c>
      <c r="CH25" s="153">
        <f>CD25</f>
        <v>1</v>
      </c>
      <c r="CI25" s="443">
        <f>CG25*CH25</f>
        <v>980719681.87665844</v>
      </c>
      <c r="CJ25" s="153">
        <f>BX25</f>
        <v>1</v>
      </c>
      <c r="CK25" s="443">
        <f>CI25*CJ25</f>
        <v>980719681.87665844</v>
      </c>
      <c r="CL25" s="153">
        <f>BZ25</f>
        <v>1</v>
      </c>
      <c r="CM25" s="443">
        <f>CK25*CL25</f>
        <v>980719681.87665844</v>
      </c>
      <c r="CN25" s="153">
        <f>CJ25</f>
        <v>1</v>
      </c>
      <c r="CO25" s="443">
        <f>CM25*CN25</f>
        <v>980719681.87665844</v>
      </c>
      <c r="CP25" s="153">
        <f>CL25</f>
        <v>1</v>
      </c>
      <c r="CQ25" s="443">
        <f>CO25*CP25</f>
        <v>980719681.87665844</v>
      </c>
      <c r="CR25" s="153">
        <f>AB25</f>
        <v>1</v>
      </c>
      <c r="CS25" s="443">
        <f>CQ25*CR25</f>
        <v>980719681.87665844</v>
      </c>
      <c r="CT25" s="153">
        <f>AD25</f>
        <v>1</v>
      </c>
      <c r="CU25" s="443">
        <f>CS25*CT25</f>
        <v>980719681.87665844</v>
      </c>
      <c r="CV25" s="153">
        <f>CR25</f>
        <v>1</v>
      </c>
      <c r="CW25" s="443">
        <f>CU25*CV25</f>
        <v>980719681.87665844</v>
      </c>
      <c r="CX25" s="153">
        <f>CT25</f>
        <v>1</v>
      </c>
      <c r="CY25" s="443">
        <f>CW25*CX25</f>
        <v>980719681.87665844</v>
      </c>
      <c r="CZ25" s="719">
        <f>G25+I25+M25+Q25+U25+Y25+AC25+AG25+AK25+AO25+AS25+AW25+BA25+BE25+BI25+BM25+BQ25+BU25+BY25+CC25+CG25+CK25+CO25+CS25+CW25</f>
        <v>24517992046.916477</v>
      </c>
      <c r="DB25" s="596">
        <f>CV25</f>
        <v>1</v>
      </c>
      <c r="DC25" s="443">
        <f>CY25*DB25</f>
        <v>980719681.87665844</v>
      </c>
      <c r="DD25" s="623"/>
      <c r="DE25" s="624"/>
      <c r="DF25" s="628"/>
      <c r="DI25" s="473"/>
      <c r="DN25" s="982" t="s">
        <v>989</v>
      </c>
      <c r="DO25" s="983">
        <f t="shared" ref="DO25:DO35" si="2">DO24+1</f>
        <v>2018</v>
      </c>
      <c r="DP25" s="910">
        <f t="shared" ref="DP25:DP35" si="3">DP24+DR24</f>
        <v>79367934864375</v>
      </c>
      <c r="DQ25" s="985">
        <f t="shared" ref="DQ25:DQ35" si="4">DQ24</f>
        <v>2.5000000000000001E-2</v>
      </c>
      <c r="DR25" s="910">
        <f t="shared" ref="DR25:DR35" si="5">DP25*DQ25</f>
        <v>1984198371609.375</v>
      </c>
      <c r="DT25" s="75"/>
      <c r="DU25" s="968">
        <f t="shared" ref="DU25:DU35" si="6">DU24+1</f>
        <v>2018</v>
      </c>
      <c r="DV25" s="305">
        <f>DV20</f>
        <v>10737418.24</v>
      </c>
      <c r="DW25" s="986">
        <v>64</v>
      </c>
      <c r="DX25" s="411">
        <f t="shared" si="0"/>
        <v>687194767.36000001</v>
      </c>
      <c r="DY25" s="980">
        <v>2.5000000000000001E-2</v>
      </c>
      <c r="DZ25" s="980"/>
      <c r="EA25" s="305">
        <f t="shared" si="1"/>
        <v>17179869.184</v>
      </c>
      <c r="EB25" s="978" t="s">
        <v>1144</v>
      </c>
      <c r="EC25" s="305">
        <f t="shared" ref="EC25:EC55" si="7">EA25</f>
        <v>17179869.184</v>
      </c>
      <c r="ED25" s="691">
        <f t="shared" ref="ED25:ED35" si="8">EC25+ED24-EH25</f>
        <v>17179869.184</v>
      </c>
      <c r="EE25" s="893">
        <v>0.125</v>
      </c>
      <c r="EF25" s="973">
        <f>ED25*EE25</f>
        <v>2147483.648</v>
      </c>
      <c r="EG25" s="305">
        <f>CZ58</f>
        <v>6782934576.3680515</v>
      </c>
      <c r="EH25" s="910">
        <f t="shared" ref="EH25:EH35" si="9">DX25*DZ25</f>
        <v>0</v>
      </c>
      <c r="EI25" s="981">
        <f t="shared" ref="EI25:EI55" si="10">EI24+1</f>
        <v>2018</v>
      </c>
    </row>
    <row r="26" spans="1:141"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7"/>
      <c r="BU26" s="452" t="s">
        <v>733</v>
      </c>
      <c r="BV26" s="122"/>
      <c r="BW26" s="8"/>
      <c r="BX26" s="7"/>
      <c r="BY26" s="452" t="s">
        <v>733</v>
      </c>
      <c r="BZ26" s="122"/>
      <c r="CA26" s="8"/>
      <c r="CB26" s="7"/>
      <c r="CC26" s="452" t="s">
        <v>733</v>
      </c>
      <c r="CD26" s="122"/>
      <c r="CE26" s="8"/>
      <c r="CF26" s="7"/>
      <c r="CG26" s="452" t="s">
        <v>733</v>
      </c>
      <c r="CH26" s="122"/>
      <c r="CI26" s="8"/>
      <c r="CJ26" s="7"/>
      <c r="CK26" s="452" t="s">
        <v>733</v>
      </c>
      <c r="CL26" s="122"/>
      <c r="CM26" s="8"/>
      <c r="CN26" s="7"/>
      <c r="CO26" s="452" t="s">
        <v>733</v>
      </c>
      <c r="CP26" s="122"/>
      <c r="CQ26" s="8"/>
      <c r="CR26" s="7"/>
      <c r="CS26" s="452" t="s">
        <v>733</v>
      </c>
      <c r="CT26" s="122"/>
      <c r="CU26" s="8"/>
      <c r="CV26" s="7"/>
      <c r="CW26" s="452" t="s">
        <v>733</v>
      </c>
      <c r="CX26" s="122"/>
      <c r="CY26" s="8"/>
      <c r="CZ26" s="126"/>
      <c r="DB26" s="122"/>
      <c r="DC26" s="452" t="s">
        <v>733</v>
      </c>
      <c r="DD26" s="623"/>
      <c r="DE26" s="623"/>
      <c r="DF26" s="628"/>
      <c r="DI26" s="473"/>
      <c r="DN26" s="982" t="s">
        <v>989</v>
      </c>
      <c r="DO26" s="983">
        <f t="shared" si="2"/>
        <v>2019</v>
      </c>
      <c r="DP26" s="910">
        <f t="shared" si="3"/>
        <v>81352133235984.375</v>
      </c>
      <c r="DQ26" s="985">
        <f t="shared" si="4"/>
        <v>2.5000000000000001E-2</v>
      </c>
      <c r="DR26" s="910">
        <f t="shared" si="5"/>
        <v>2033803330899.6094</v>
      </c>
      <c r="DT26" s="75"/>
      <c r="DU26" s="968">
        <f t="shared" si="6"/>
        <v>2019</v>
      </c>
      <c r="DV26" s="305">
        <f>DV20</f>
        <v>10737418.24</v>
      </c>
      <c r="DW26" s="986">
        <v>64</v>
      </c>
      <c r="DX26" s="411">
        <f t="shared" si="0"/>
        <v>687194767.36000001</v>
      </c>
      <c r="DY26" s="980">
        <v>0.2</v>
      </c>
      <c r="DZ26" s="980"/>
      <c r="EA26" s="305">
        <f t="shared" si="1"/>
        <v>137438953.472</v>
      </c>
      <c r="EB26" s="978" t="s">
        <v>1144</v>
      </c>
      <c r="EC26" s="305">
        <f t="shared" si="7"/>
        <v>137438953.472</v>
      </c>
      <c r="ED26" s="691">
        <f t="shared" si="8"/>
        <v>154618822.65600002</v>
      </c>
      <c r="EE26" s="893">
        <f>EE25</f>
        <v>0.125</v>
      </c>
      <c r="EF26" s="973">
        <f t="shared" ref="EF26:EF55" si="11">ED26*EE26</f>
        <v>19327352.832000002</v>
      </c>
      <c r="EG26" s="305">
        <f>EG25</f>
        <v>6782934576.3680515</v>
      </c>
      <c r="EH26" s="910">
        <f t="shared" si="9"/>
        <v>0</v>
      </c>
      <c r="EI26" s="981">
        <f t="shared" si="10"/>
        <v>2019</v>
      </c>
    </row>
    <row r="27" spans="1:141" ht="19.2" thickBot="1" x14ac:dyDescent="0.5">
      <c r="C27" s="122"/>
      <c r="D27" s="574" t="s">
        <v>1369</v>
      </c>
      <c r="E27" s="7"/>
      <c r="F27" s="1096">
        <v>0.25</v>
      </c>
      <c r="G27" s="446">
        <f>E21*F27</f>
        <v>1225899602.345823</v>
      </c>
      <c r="H27" s="447">
        <v>0.25</v>
      </c>
      <c r="I27" s="446">
        <f>G27*H27</f>
        <v>306474900.58645576</v>
      </c>
      <c r="J27" s="447">
        <v>1</v>
      </c>
      <c r="K27" s="439">
        <f>I27*J27</f>
        <v>306474900.58645576</v>
      </c>
      <c r="L27" s="438">
        <f>H27</f>
        <v>0.25</v>
      </c>
      <c r="M27" s="439">
        <f>K27*L27</f>
        <v>76618725.146613941</v>
      </c>
      <c r="N27" s="438">
        <f>J27</f>
        <v>1</v>
      </c>
      <c r="O27" s="439">
        <f>M27*N27</f>
        <v>76618725.146613941</v>
      </c>
      <c r="P27" s="438">
        <f>L27</f>
        <v>0.25</v>
      </c>
      <c r="Q27" s="439">
        <f>O27*P27</f>
        <v>19154681.286653485</v>
      </c>
      <c r="R27" s="438">
        <f>N27</f>
        <v>1</v>
      </c>
      <c r="S27" s="439">
        <f>Q27*R27</f>
        <v>19154681.286653485</v>
      </c>
      <c r="T27" s="438">
        <f>P27</f>
        <v>0.25</v>
      </c>
      <c r="U27" s="439">
        <f>S27*T27</f>
        <v>4788670.3216633713</v>
      </c>
      <c r="V27" s="438">
        <f>R27</f>
        <v>1</v>
      </c>
      <c r="W27" s="439">
        <f>U27*V27</f>
        <v>4788670.3216633713</v>
      </c>
      <c r="X27" s="438">
        <f>T27</f>
        <v>0.25</v>
      </c>
      <c r="Y27" s="439">
        <f>W27*X27</f>
        <v>1197167.5804158428</v>
      </c>
      <c r="Z27" s="438">
        <f>V27</f>
        <v>1</v>
      </c>
      <c r="AA27" s="439">
        <f>Y27*Z27</f>
        <v>1197167.5804158428</v>
      </c>
      <c r="AB27" s="438">
        <f>X27</f>
        <v>0.25</v>
      </c>
      <c r="AC27" s="439">
        <f>AA27*AB27</f>
        <v>299291.89510396071</v>
      </c>
      <c r="AD27" s="438">
        <f>Z27</f>
        <v>1</v>
      </c>
      <c r="AE27" s="439">
        <f>AC27*AD27</f>
        <v>299291.89510396071</v>
      </c>
      <c r="AF27" s="438">
        <f>AB27</f>
        <v>0.25</v>
      </c>
      <c r="AG27" s="439">
        <f>AE27*AF27</f>
        <v>74822.973775990176</v>
      </c>
      <c r="AH27" s="438">
        <f>AD27</f>
        <v>1</v>
      </c>
      <c r="AI27" s="439">
        <f>AG27*AH27</f>
        <v>74822.973775990176</v>
      </c>
      <c r="AJ27" s="438">
        <f>AF27</f>
        <v>0.25</v>
      </c>
      <c r="AK27" s="439">
        <f>AI27*AJ27</f>
        <v>18705.743443997544</v>
      </c>
      <c r="AL27" s="438">
        <f>AH27</f>
        <v>1</v>
      </c>
      <c r="AM27" s="439">
        <f>AK27*AL27</f>
        <v>18705.743443997544</v>
      </c>
      <c r="AN27" s="438">
        <f>AJ27</f>
        <v>0.25</v>
      </c>
      <c r="AO27" s="439">
        <f>AM27*AN27</f>
        <v>4676.435860999386</v>
      </c>
      <c r="AP27" s="438">
        <f>AL27</f>
        <v>1</v>
      </c>
      <c r="AQ27" s="439">
        <f>AO27*AP27</f>
        <v>4676.435860999386</v>
      </c>
      <c r="AR27" s="438">
        <f>AN27</f>
        <v>0.25</v>
      </c>
      <c r="AS27" s="439">
        <f>AQ27*AR27</f>
        <v>1169.1089652498465</v>
      </c>
      <c r="AT27" s="438">
        <f>AP27</f>
        <v>1</v>
      </c>
      <c r="AU27" s="439">
        <f>AS27*AT27</f>
        <v>1169.1089652498465</v>
      </c>
      <c r="AV27" s="438">
        <f>AR27</f>
        <v>0.25</v>
      </c>
      <c r="AW27" s="439">
        <f>AU27*AV27</f>
        <v>292.27724131246163</v>
      </c>
      <c r="AX27" s="438">
        <f>AT27</f>
        <v>1</v>
      </c>
      <c r="AY27" s="439">
        <f>AW27*AX27</f>
        <v>292.27724131246163</v>
      </c>
      <c r="AZ27" s="438">
        <f>AV27</f>
        <v>0.25</v>
      </c>
      <c r="BA27" s="439">
        <f>AY27*AZ27</f>
        <v>73.069310328115407</v>
      </c>
      <c r="BB27" s="438">
        <f>AX27</f>
        <v>1</v>
      </c>
      <c r="BC27" s="439">
        <f>BA27*BB27</f>
        <v>73.069310328115407</v>
      </c>
      <c r="BD27" s="438">
        <f>AR27</f>
        <v>0.25</v>
      </c>
      <c r="BE27" s="439">
        <f>BC27*BD27</f>
        <v>18.267327582028852</v>
      </c>
      <c r="BF27" s="438">
        <f>AT27</f>
        <v>1</v>
      </c>
      <c r="BG27" s="439">
        <f>BE27*BF27</f>
        <v>18.267327582028852</v>
      </c>
      <c r="BH27" s="438">
        <f>BD27</f>
        <v>0.25</v>
      </c>
      <c r="BI27" s="439">
        <f>BG27*BH27</f>
        <v>4.5668318955072129</v>
      </c>
      <c r="BJ27" s="438">
        <f>BF27</f>
        <v>1</v>
      </c>
      <c r="BK27" s="439">
        <f>BI27*BJ27</f>
        <v>4.5668318955072129</v>
      </c>
      <c r="BL27" s="438">
        <f>BH27</f>
        <v>0.25</v>
      </c>
      <c r="BM27" s="439">
        <f>BK27*BL27</f>
        <v>1.1417079738768032</v>
      </c>
      <c r="BN27" s="438">
        <f>BJ27</f>
        <v>1</v>
      </c>
      <c r="BO27" s="439">
        <f>BM27*BN27</f>
        <v>1.1417079738768032</v>
      </c>
      <c r="BP27" s="438">
        <f>BL27</f>
        <v>0.25</v>
      </c>
      <c r="BQ27" s="439">
        <f>BO27*BP27</f>
        <v>0.28542699346920081</v>
      </c>
      <c r="BR27" s="438">
        <f>BN27</f>
        <v>1</v>
      </c>
      <c r="BS27" s="439">
        <f>BQ27*BR27</f>
        <v>0.28542699346920081</v>
      </c>
      <c r="BT27" s="438">
        <f>BP27</f>
        <v>0.25</v>
      </c>
      <c r="BU27" s="439">
        <f>BS27*BT27</f>
        <v>7.1356748367300202E-2</v>
      </c>
      <c r="BV27" s="438">
        <f>BR27</f>
        <v>1</v>
      </c>
      <c r="BW27" s="439">
        <f>BU27*BV27</f>
        <v>7.1356748367300202E-2</v>
      </c>
      <c r="BX27" s="438">
        <f>BT27</f>
        <v>0.25</v>
      </c>
      <c r="BY27" s="439">
        <f>BW27*BX27</f>
        <v>1.783918709182505E-2</v>
      </c>
      <c r="BZ27" s="438">
        <f>BV27</f>
        <v>1</v>
      </c>
      <c r="CA27" s="439">
        <f>BY27*BZ27</f>
        <v>1.783918709182505E-2</v>
      </c>
      <c r="CB27" s="438">
        <f>BX27</f>
        <v>0.25</v>
      </c>
      <c r="CC27" s="439">
        <f>CA27*CB27</f>
        <v>4.4597967729562626E-3</v>
      </c>
      <c r="CD27" s="438">
        <f>BZ27</f>
        <v>1</v>
      </c>
      <c r="CE27" s="439">
        <f>CC27*CD27</f>
        <v>4.4597967729562626E-3</v>
      </c>
      <c r="CF27" s="438">
        <f>CB27</f>
        <v>0.25</v>
      </c>
      <c r="CG27" s="439">
        <f>CE27*CF27</f>
        <v>1.1149491932390657E-3</v>
      </c>
      <c r="CH27" s="438">
        <f>CD27</f>
        <v>1</v>
      </c>
      <c r="CI27" s="439">
        <f>CG27*CH27</f>
        <v>1.1149491932390657E-3</v>
      </c>
      <c r="CJ27" s="438">
        <f>BX27</f>
        <v>0.25</v>
      </c>
      <c r="CK27" s="439">
        <f>CI27*CJ27</f>
        <v>2.7873729830976641E-4</v>
      </c>
      <c r="CL27" s="438">
        <f>BZ27</f>
        <v>1</v>
      </c>
      <c r="CM27" s="439">
        <f>CK27*CL27</f>
        <v>2.7873729830976641E-4</v>
      </c>
      <c r="CN27" s="438">
        <f>CJ27</f>
        <v>0.25</v>
      </c>
      <c r="CO27" s="439">
        <f>CM27*CN27</f>
        <v>6.9684324577441603E-5</v>
      </c>
      <c r="CP27" s="438">
        <f>CL27</f>
        <v>1</v>
      </c>
      <c r="CQ27" s="439">
        <f>CO27*CP27</f>
        <v>6.9684324577441603E-5</v>
      </c>
      <c r="CR27" s="438">
        <f>AB27</f>
        <v>0.25</v>
      </c>
      <c r="CS27" s="439">
        <f>CQ27*CR27</f>
        <v>1.7421081144360401E-5</v>
      </c>
      <c r="CT27" s="438">
        <f>AD27</f>
        <v>1</v>
      </c>
      <c r="CU27" s="439">
        <f>CS27*CT27</f>
        <v>1.7421081144360401E-5</v>
      </c>
      <c r="CV27" s="438">
        <f>CR27</f>
        <v>0.25</v>
      </c>
      <c r="CW27" s="439">
        <f>CU27*CV27</f>
        <v>4.3552702860901002E-6</v>
      </c>
      <c r="CX27" s="438">
        <f>CT27</f>
        <v>1</v>
      </c>
      <c r="CY27" s="439">
        <f>CW27*CX27</f>
        <v>4.3552702860901002E-6</v>
      </c>
      <c r="CZ27" s="719">
        <f>G27+I27+M27+Q27+U27+Y27+AC27+AG27+AK27+AO27+AS27+AW27+BA27+BE27+BI27+BM27+BQ27+BU27+BY27+CC27+CG27+CK27+CO27+CS27+CW27</f>
        <v>1634532803.1277623</v>
      </c>
      <c r="DB27" s="597">
        <f>CV27</f>
        <v>0.25</v>
      </c>
      <c r="DC27" s="439">
        <f>CY27*DB27</f>
        <v>1.0888175715225251E-6</v>
      </c>
      <c r="DD27" s="623"/>
      <c r="DE27" s="624"/>
      <c r="DF27" s="628"/>
      <c r="DI27" s="473"/>
      <c r="DN27" s="982" t="s">
        <v>989</v>
      </c>
      <c r="DO27" s="983">
        <f t="shared" si="2"/>
        <v>2020</v>
      </c>
      <c r="DP27" s="910">
        <f t="shared" si="3"/>
        <v>83385936566883.984</v>
      </c>
      <c r="DQ27" s="985">
        <f t="shared" si="4"/>
        <v>2.5000000000000001E-2</v>
      </c>
      <c r="DR27" s="910">
        <f t="shared" si="5"/>
        <v>2084648414172.0996</v>
      </c>
      <c r="DS27" s="895" t="s">
        <v>1283</v>
      </c>
      <c r="DT27" s="75"/>
      <c r="DU27" s="968">
        <f t="shared" si="6"/>
        <v>2020</v>
      </c>
      <c r="DV27" s="305">
        <f>DV20</f>
        <v>10737418.24</v>
      </c>
      <c r="DW27" s="986">
        <v>64</v>
      </c>
      <c r="DX27" s="411">
        <f t="shared" si="0"/>
        <v>687194767.36000001</v>
      </c>
      <c r="DY27" s="980">
        <v>1.5</v>
      </c>
      <c r="DZ27" s="980"/>
      <c r="EA27" s="305">
        <f t="shared" si="1"/>
        <v>1030792151.04</v>
      </c>
      <c r="EB27" s="978" t="s">
        <v>1144</v>
      </c>
      <c r="EC27" s="305">
        <f t="shared" si="7"/>
        <v>1030792151.04</v>
      </c>
      <c r="ED27" s="691">
        <f t="shared" si="8"/>
        <v>1185410973.6960001</v>
      </c>
      <c r="EE27" s="893">
        <f t="shared" ref="EE27:EE31" si="12">EE26</f>
        <v>0.125</v>
      </c>
      <c r="EF27" s="973">
        <f t="shared" si="11"/>
        <v>148176371.71200001</v>
      </c>
      <c r="EG27" s="305">
        <f t="shared" ref="EG27:EG55" si="13">EG26</f>
        <v>6782934576.3680515</v>
      </c>
      <c r="EH27" s="910">
        <f t="shared" si="9"/>
        <v>0</v>
      </c>
      <c r="EI27" s="981">
        <f t="shared" si="10"/>
        <v>2020</v>
      </c>
    </row>
    <row r="28" spans="1:141"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142"/>
      <c r="BQ28" s="434"/>
      <c r="BR28" s="142"/>
      <c r="BS28" s="434"/>
      <c r="BT28" s="142"/>
      <c r="BU28" s="434"/>
      <c r="BV28" s="142"/>
      <c r="BW28" s="434"/>
      <c r="BX28" s="142"/>
      <c r="BY28" s="434"/>
      <c r="BZ28" s="142"/>
      <c r="CA28" s="434"/>
      <c r="CB28" s="142"/>
      <c r="CC28" s="434"/>
      <c r="CD28" s="142"/>
      <c r="CE28" s="434"/>
      <c r="CF28" s="142"/>
      <c r="CG28" s="434"/>
      <c r="CH28" s="142"/>
      <c r="CI28" s="434"/>
      <c r="CJ28" s="142"/>
      <c r="CK28" s="434"/>
      <c r="CL28" s="142"/>
      <c r="CM28" s="434"/>
      <c r="CN28" s="142"/>
      <c r="CO28" s="434"/>
      <c r="CP28" s="142"/>
      <c r="CQ28" s="434"/>
      <c r="CR28" s="142"/>
      <c r="CS28" s="434"/>
      <c r="CT28" s="142"/>
      <c r="CU28" s="434"/>
      <c r="CV28" s="437"/>
      <c r="CW28" s="434"/>
      <c r="CX28" s="142"/>
      <c r="CY28" s="434"/>
      <c r="CZ28" s="180"/>
      <c r="DB28" s="122"/>
      <c r="DC28" s="8"/>
      <c r="DD28" s="623"/>
      <c r="DE28" s="624"/>
      <c r="DF28" s="629">
        <f>DC5</f>
        <v>15025737600.067259</v>
      </c>
      <c r="DI28" s="473"/>
      <c r="DN28" s="982" t="s">
        <v>989</v>
      </c>
      <c r="DO28" s="983">
        <f t="shared" si="2"/>
        <v>2021</v>
      </c>
      <c r="DP28" s="910">
        <f t="shared" si="3"/>
        <v>85470584981056.078</v>
      </c>
      <c r="DQ28" s="985">
        <f t="shared" si="4"/>
        <v>2.5000000000000001E-2</v>
      </c>
      <c r="DR28" s="910">
        <f t="shared" si="5"/>
        <v>2136764624526.4021</v>
      </c>
      <c r="DT28" s="75"/>
      <c r="DU28" s="968">
        <f t="shared" si="6"/>
        <v>2021</v>
      </c>
      <c r="DV28" s="305">
        <f>DV20</f>
        <v>10737418.24</v>
      </c>
      <c r="DW28" s="986">
        <v>64</v>
      </c>
      <c r="DX28" s="411">
        <f t="shared" si="0"/>
        <v>687194767.36000001</v>
      </c>
      <c r="DY28" s="980">
        <v>1.25</v>
      </c>
      <c r="DZ28" s="980"/>
      <c r="EA28" s="305">
        <f t="shared" si="1"/>
        <v>858993459.20000005</v>
      </c>
      <c r="EB28" s="978" t="s">
        <v>1144</v>
      </c>
      <c r="EC28" s="305">
        <f t="shared" si="7"/>
        <v>858993459.20000005</v>
      </c>
      <c r="ED28" s="691">
        <f t="shared" si="8"/>
        <v>2044404432.8960001</v>
      </c>
      <c r="EE28" s="893">
        <f t="shared" si="12"/>
        <v>0.125</v>
      </c>
      <c r="EF28" s="973">
        <f t="shared" si="11"/>
        <v>255550554.11200002</v>
      </c>
      <c r="EG28" s="305">
        <f t="shared" si="13"/>
        <v>6782934576.3680515</v>
      </c>
      <c r="EH28" s="910">
        <f t="shared" si="9"/>
        <v>0</v>
      </c>
      <c r="EI28" s="981">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346630482746.1637</v>
      </c>
      <c r="DB29" s="179"/>
      <c r="DC29" s="161">
        <f>SUM(DC10:DC28)</f>
        <v>13799837997.721437</v>
      </c>
      <c r="DD29" s="691">
        <v>1</v>
      </c>
      <c r="DE29" s="183">
        <f>DC29*DD29</f>
        <v>13799837997.721437</v>
      </c>
      <c r="DF29" s="645">
        <f>DE29+DF28</f>
        <v>28825575597.788696</v>
      </c>
      <c r="DG29" s="253" t="s">
        <v>1383</v>
      </c>
      <c r="DI29" s="473"/>
      <c r="DN29" s="982" t="s">
        <v>989</v>
      </c>
      <c r="DO29" s="983">
        <f>DO28+1</f>
        <v>2022</v>
      </c>
      <c r="DP29" s="910">
        <f>DP28+DR28</f>
        <v>87607349605582.484</v>
      </c>
      <c r="DQ29" s="985">
        <f>DQ28</f>
        <v>2.5000000000000001E-2</v>
      </c>
      <c r="DR29" s="910">
        <f t="shared" si="5"/>
        <v>2190183740139.5623</v>
      </c>
      <c r="DT29" s="75"/>
      <c r="DU29" s="968">
        <f>DU28+1</f>
        <v>2022</v>
      </c>
      <c r="DV29" s="305">
        <f>DV20</f>
        <v>10737418.24</v>
      </c>
      <c r="DW29" s="986">
        <v>64</v>
      </c>
      <c r="DX29" s="411">
        <f t="shared" si="0"/>
        <v>687194767.36000001</v>
      </c>
      <c r="DY29" s="980">
        <v>2</v>
      </c>
      <c r="DZ29" s="980"/>
      <c r="EA29" s="305">
        <f t="shared" si="1"/>
        <v>1374389534.72</v>
      </c>
      <c r="EB29" s="978" t="s">
        <v>1144</v>
      </c>
      <c r="EC29" s="305">
        <f t="shared" si="7"/>
        <v>1374389534.72</v>
      </c>
      <c r="ED29" s="691">
        <f t="shared" si="8"/>
        <v>3418793967.6160002</v>
      </c>
      <c r="EE29" s="893">
        <f t="shared" si="12"/>
        <v>0.125</v>
      </c>
      <c r="EF29" s="973">
        <f t="shared" si="11"/>
        <v>427349245.95200002</v>
      </c>
      <c r="EG29" s="305">
        <f t="shared" si="13"/>
        <v>6782934576.3680515</v>
      </c>
      <c r="EH29" s="910">
        <f t="shared" si="9"/>
        <v>0</v>
      </c>
      <c r="EI29" s="981">
        <f>EI28+1</f>
        <v>2022</v>
      </c>
    </row>
    <row r="30" spans="1:141" x14ac:dyDescent="0.3">
      <c r="C30" s="158"/>
      <c r="D30" s="10"/>
      <c r="E30" s="10"/>
      <c r="F30" s="10"/>
      <c r="G30" s="159">
        <f>SUM(G10:G29)</f>
        <v>15025737600.067259</v>
      </c>
      <c r="H30" s="599"/>
      <c r="I30" s="172">
        <f>SUM(I10:I29)</f>
        <v>14106312898.307892</v>
      </c>
      <c r="J30" s="158"/>
      <c r="K30" s="11"/>
      <c r="L30" s="160"/>
      <c r="M30" s="161">
        <f>SUM(M10:M29)</f>
        <v>13876456722.86805</v>
      </c>
      <c r="N30" s="158"/>
      <c r="O30" s="11"/>
      <c r="P30" s="598"/>
      <c r="Q30" s="172">
        <f>SUM(Q10:Q29)</f>
        <v>13818992679.008089</v>
      </c>
      <c r="R30" s="158"/>
      <c r="S30" s="11"/>
      <c r="T30" s="160"/>
      <c r="U30" s="161">
        <f>SUM(U10:U29)</f>
        <v>13804626668.043098</v>
      </c>
      <c r="V30" s="158"/>
      <c r="W30" s="11"/>
      <c r="X30" s="598"/>
      <c r="Y30" s="172">
        <f>SUM(Y10:Y29)</f>
        <v>13801035165.301851</v>
      </c>
      <c r="Z30" s="158"/>
      <c r="AA30" s="11"/>
      <c r="AB30" s="160"/>
      <c r="AC30" s="161">
        <f>SUM(AC10:AC29)</f>
        <v>13800137289.616539</v>
      </c>
      <c r="AD30" s="158"/>
      <c r="AE30" s="11"/>
      <c r="AF30" s="598"/>
      <c r="AG30" s="172">
        <f>SUM(AG10:AG29)</f>
        <v>13799912820.695211</v>
      </c>
      <c r="AH30" s="158"/>
      <c r="AI30" s="11"/>
      <c r="AJ30" s="598"/>
      <c r="AK30" s="172">
        <f>SUM(AK10:AK29)</f>
        <v>13799856703.46488</v>
      </c>
      <c r="AL30" s="158"/>
      <c r="AM30" s="11"/>
      <c r="AN30" s="598"/>
      <c r="AO30" s="172">
        <f>SUM(AO10:AO29)</f>
        <v>13799842674.157297</v>
      </c>
      <c r="AP30" s="158"/>
      <c r="AQ30" s="11"/>
      <c r="AR30" s="598"/>
      <c r="AS30" s="172">
        <f>SUM(AS10:AS29)</f>
        <v>13799839166.8304</v>
      </c>
      <c r="AT30" s="158"/>
      <c r="AU30" s="11"/>
      <c r="AV30" s="598"/>
      <c r="AW30" s="172">
        <f>SUM(AW10:AW29)</f>
        <v>13799838289.998676</v>
      </c>
      <c r="AX30" s="158"/>
      <c r="AY30" s="11"/>
      <c r="AZ30" s="598"/>
      <c r="BA30" s="172">
        <f>SUM(BA10:BA29)</f>
        <v>13799838070.790747</v>
      </c>
      <c r="BB30" s="158"/>
      <c r="BC30" s="11"/>
      <c r="BD30" s="598"/>
      <c r="BE30" s="172">
        <f>SUM(BE10:BE29)</f>
        <v>13799838015.988764</v>
      </c>
      <c r="BF30" s="158"/>
      <c r="BG30" s="11"/>
      <c r="BH30" s="598"/>
      <c r="BI30" s="172">
        <f>SUM(BI10:BI29)</f>
        <v>13799838002.288267</v>
      </c>
      <c r="BJ30" s="158"/>
      <c r="BK30" s="11"/>
      <c r="BL30" s="598"/>
      <c r="BM30" s="172">
        <f>SUM(BM10:BM29)</f>
        <v>13799837998.863144</v>
      </c>
      <c r="BN30" s="158"/>
      <c r="BO30" s="11"/>
      <c r="BP30" s="598"/>
      <c r="BQ30" s="172">
        <f>SUM(BQ10:BQ29)</f>
        <v>13799837998.006863</v>
      </c>
      <c r="BR30" s="158"/>
      <c r="BS30" s="11"/>
      <c r="BT30" s="598"/>
      <c r="BU30" s="172">
        <f>SUM(BU10:BU29)</f>
        <v>13799837997.792791</v>
      </c>
      <c r="BV30" s="158"/>
      <c r="BW30" s="11"/>
      <c r="BX30" s="598"/>
      <c r="BY30" s="172">
        <f>SUM(BY10:BY29)</f>
        <v>13799837997.739275</v>
      </c>
      <c r="BZ30" s="158"/>
      <c r="CA30" s="11"/>
      <c r="CB30" s="598"/>
      <c r="CC30" s="172">
        <f>SUM(CC10:CC29)</f>
        <v>13799837997.725895</v>
      </c>
      <c r="CD30" s="158"/>
      <c r="CE30" s="11"/>
      <c r="CF30" s="598"/>
      <c r="CG30" s="172">
        <f>SUM(CG10:CG29)</f>
        <v>13799837997.722551</v>
      </c>
      <c r="CH30" s="158"/>
      <c r="CI30" s="11"/>
      <c r="CJ30" s="598"/>
      <c r="CK30" s="172">
        <f>SUM(CK10:CK29)</f>
        <v>13799837997.721714</v>
      </c>
      <c r="CL30" s="158"/>
      <c r="CM30" s="11"/>
      <c r="CN30" s="598"/>
      <c r="CO30" s="172">
        <f>SUM(CO10:CO29)</f>
        <v>13799837997.721506</v>
      </c>
      <c r="CP30" s="158"/>
      <c r="CQ30" s="11"/>
      <c r="CR30" s="598"/>
      <c r="CS30" s="172">
        <f>SUM(CS10:CS29)</f>
        <v>13799837997.721453</v>
      </c>
      <c r="CT30" s="158"/>
      <c r="CU30" s="11"/>
      <c r="CV30" s="179"/>
      <c r="CW30" s="161">
        <f>SUM(CW10:CW29)</f>
        <v>13799837997.721439</v>
      </c>
      <c r="CX30" s="158"/>
      <c r="CY30" s="11"/>
      <c r="CZ30" s="161">
        <f>G30+I30+M30+Q30+U30+Y30+AC30+CS30+CW30</f>
        <v>125832975018.65565</v>
      </c>
      <c r="DF30" s="253" t="s">
        <v>1383</v>
      </c>
      <c r="DI30" s="473"/>
      <c r="DN30" s="982" t="s">
        <v>989</v>
      </c>
      <c r="DO30" s="983">
        <f>DO29+1</f>
        <v>2023</v>
      </c>
      <c r="DP30" s="910">
        <f>DP29+DR29</f>
        <v>89797533345722.047</v>
      </c>
      <c r="DQ30" s="985">
        <f>DQ29</f>
        <v>2.5000000000000001E-2</v>
      </c>
      <c r="DR30" s="910">
        <f t="shared" si="5"/>
        <v>2244938333643.0513</v>
      </c>
      <c r="DT30" s="75"/>
      <c r="DU30" s="968">
        <f>DU29+1</f>
        <v>2023</v>
      </c>
      <c r="DV30" s="305">
        <f>DV20</f>
        <v>10737418.24</v>
      </c>
      <c r="DW30" s="986">
        <v>64</v>
      </c>
      <c r="DX30" s="411">
        <f t="shared" si="0"/>
        <v>687194767.36000001</v>
      </c>
      <c r="DY30" s="980">
        <v>3</v>
      </c>
      <c r="DZ30" s="980"/>
      <c r="EA30" s="305">
        <f t="shared" si="1"/>
        <v>2061584302.0799999</v>
      </c>
      <c r="EB30" s="978" t="s">
        <v>1144</v>
      </c>
      <c r="EC30" s="305">
        <f t="shared" si="7"/>
        <v>2061584302.0799999</v>
      </c>
      <c r="ED30" s="691">
        <f t="shared" si="8"/>
        <v>5480378269.6960001</v>
      </c>
      <c r="EE30" s="893">
        <f t="shared" si="12"/>
        <v>0.125</v>
      </c>
      <c r="EF30" s="973">
        <f t="shared" si="11"/>
        <v>685047283.71200001</v>
      </c>
      <c r="EG30" s="305">
        <f t="shared" si="13"/>
        <v>6782934576.3680515</v>
      </c>
      <c r="EH30" s="910">
        <f t="shared" si="9"/>
        <v>0</v>
      </c>
      <c r="EI30" s="981">
        <f>EI29+1</f>
        <v>2023</v>
      </c>
    </row>
    <row r="31" spans="1:141" x14ac:dyDescent="0.3">
      <c r="I31" s="30"/>
      <c r="Q31" s="30"/>
      <c r="Y31" s="30"/>
      <c r="CZ31" s="999" t="s">
        <v>1355</v>
      </c>
      <c r="DB31" s="77" t="s">
        <v>1382</v>
      </c>
      <c r="DC31" s="567">
        <f>CZ34</f>
        <v>24.034557968875092</v>
      </c>
      <c r="DD31" s="76"/>
      <c r="DE31" s="76" t="s">
        <v>957</v>
      </c>
      <c r="DI31" s="473"/>
      <c r="DN31" s="982" t="s">
        <v>989</v>
      </c>
      <c r="DO31" s="983">
        <f t="shared" si="2"/>
        <v>2024</v>
      </c>
      <c r="DP31" s="910">
        <f t="shared" si="3"/>
        <v>92042471679365.094</v>
      </c>
      <c r="DQ31" s="985">
        <f t="shared" si="4"/>
        <v>2.5000000000000001E-2</v>
      </c>
      <c r="DR31" s="910">
        <f t="shared" si="5"/>
        <v>2301061791984.1274</v>
      </c>
      <c r="DS31" s="895" t="s">
        <v>1282</v>
      </c>
      <c r="DT31" s="75"/>
      <c r="DU31" s="968">
        <f t="shared" si="6"/>
        <v>2024</v>
      </c>
      <c r="DV31" s="305">
        <f>DV20</f>
        <v>10737418.24</v>
      </c>
      <c r="DW31" s="986">
        <v>64</v>
      </c>
      <c r="DX31" s="411">
        <f t="shared" si="0"/>
        <v>687194767.36000001</v>
      </c>
      <c r="DY31" s="980">
        <v>8</v>
      </c>
      <c r="DZ31" s="980"/>
      <c r="EA31" s="305">
        <f t="shared" si="1"/>
        <v>5497558138.8800001</v>
      </c>
      <c r="EB31" s="978" t="s">
        <v>1144</v>
      </c>
      <c r="EC31" s="305">
        <f t="shared" si="7"/>
        <v>5497558138.8800001</v>
      </c>
      <c r="ED31" s="691">
        <f t="shared" si="8"/>
        <v>10977936408.576</v>
      </c>
      <c r="EE31" s="893">
        <f t="shared" si="12"/>
        <v>0.125</v>
      </c>
      <c r="EF31" s="995">
        <f t="shared" si="11"/>
        <v>1372242051.072</v>
      </c>
      <c r="EG31" s="305">
        <f t="shared" si="13"/>
        <v>6782934576.3680515</v>
      </c>
      <c r="EH31" s="910">
        <f t="shared" si="9"/>
        <v>0</v>
      </c>
      <c r="EI31" s="981">
        <f t="shared" si="10"/>
        <v>2024</v>
      </c>
      <c r="EJ31" s="1000">
        <v>0.125</v>
      </c>
      <c r="EK31" s="1001">
        <f>EF31*EE31</f>
        <v>171530256.384</v>
      </c>
    </row>
    <row r="32" spans="1:141" x14ac:dyDescent="0.3">
      <c r="A32" s="690"/>
      <c r="B32" s="690"/>
      <c r="I32" s="690"/>
      <c r="CY32" s="1150" t="s">
        <v>306</v>
      </c>
      <c r="CZ32" s="182">
        <f>E8</f>
        <v>30051475200.134518</v>
      </c>
      <c r="DB32" s="736">
        <f>CZ47</f>
        <v>30051475200.134518</v>
      </c>
      <c r="DC32" s="568">
        <f>DB32*CZ34</f>
        <v>722273922747.84521</v>
      </c>
      <c r="DD32" s="208">
        <f>DA49</f>
        <v>0.66163000000000005</v>
      </c>
      <c r="DE32" s="691">
        <f>DC32*DD32</f>
        <v>477878095507.65686</v>
      </c>
      <c r="DI32" s="473"/>
      <c r="DN32" s="332" t="s">
        <v>989</v>
      </c>
      <c r="DO32" s="953">
        <f>DO31+1</f>
        <v>2025</v>
      </c>
      <c r="DP32" s="691">
        <f>DP31+DR31</f>
        <v>94343533471349.219</v>
      </c>
      <c r="DQ32" s="894">
        <f>DQ31</f>
        <v>2.5000000000000001E-2</v>
      </c>
      <c r="DR32" s="691">
        <f t="shared" si="5"/>
        <v>2358588336783.7305</v>
      </c>
      <c r="DT32" s="332" t="s">
        <v>963</v>
      </c>
      <c r="DU32" s="953">
        <f>DU31+1</f>
        <v>2025</v>
      </c>
      <c r="DV32" s="691">
        <f>DV20</f>
        <v>10737418.24</v>
      </c>
      <c r="DW32" s="987">
        <v>64</v>
      </c>
      <c r="DX32" s="875">
        <f t="shared" si="0"/>
        <v>687194767.36000001</v>
      </c>
      <c r="DY32" s="977"/>
      <c r="DZ32" s="977"/>
      <c r="EA32" s="691">
        <f t="shared" si="1"/>
        <v>0</v>
      </c>
      <c r="EC32" s="691">
        <f t="shared" si="7"/>
        <v>0</v>
      </c>
      <c r="ED32" s="691">
        <f t="shared" si="8"/>
        <v>10977936408.576</v>
      </c>
      <c r="EE32" s="894">
        <f>EE31</f>
        <v>0.125</v>
      </c>
      <c r="EF32" s="975">
        <f t="shared" si="11"/>
        <v>1372242051.072</v>
      </c>
      <c r="EG32" s="691">
        <f t="shared" si="13"/>
        <v>6782934576.3680515</v>
      </c>
      <c r="EH32" s="183">
        <f t="shared" si="9"/>
        <v>0</v>
      </c>
      <c r="EI32" s="949">
        <f>EI31+1</f>
        <v>2025</v>
      </c>
    </row>
    <row r="33" spans="1:139" x14ac:dyDescent="0.3">
      <c r="I33" s="690"/>
      <c r="J33" s="18"/>
      <c r="K33" s="690"/>
      <c r="CY33" s="122" t="s">
        <v>307</v>
      </c>
      <c r="CZ33" s="183">
        <f>CZ29+CZ5</f>
        <v>722273922747.84521</v>
      </c>
      <c r="DC33" s="248"/>
      <c r="DE33" s="181"/>
      <c r="DI33" s="473"/>
      <c r="DN33" s="332" t="s">
        <v>989</v>
      </c>
      <c r="DO33" s="953">
        <f t="shared" si="2"/>
        <v>2026</v>
      </c>
      <c r="DP33" s="691">
        <f t="shared" si="3"/>
        <v>96702121808132.953</v>
      </c>
      <c r="DQ33" s="894">
        <f t="shared" si="4"/>
        <v>2.5000000000000001E-2</v>
      </c>
      <c r="DR33" s="691">
        <f t="shared" si="5"/>
        <v>2417553045203.3237</v>
      </c>
      <c r="DT33" s="332"/>
      <c r="DU33" s="953">
        <f t="shared" si="6"/>
        <v>2026</v>
      </c>
      <c r="DV33" s="691">
        <f>DV20</f>
        <v>10737418.24</v>
      </c>
      <c r="DW33" s="987">
        <v>64</v>
      </c>
      <c r="DX33" s="875">
        <f t="shared" si="0"/>
        <v>687194767.36000001</v>
      </c>
      <c r="DY33" s="977"/>
      <c r="DZ33" s="977"/>
      <c r="EA33" s="691">
        <f t="shared" si="1"/>
        <v>0</v>
      </c>
      <c r="EC33" s="691">
        <f t="shared" si="7"/>
        <v>0</v>
      </c>
      <c r="ED33" s="691">
        <f t="shared" si="8"/>
        <v>10977936408.576</v>
      </c>
      <c r="EE33" s="894">
        <f>EE32</f>
        <v>0.125</v>
      </c>
      <c r="EF33" s="975">
        <f t="shared" si="11"/>
        <v>1372242051.072</v>
      </c>
      <c r="EG33" s="691">
        <f t="shared" si="13"/>
        <v>6782934576.3680515</v>
      </c>
      <c r="EH33" s="183">
        <f t="shared" si="9"/>
        <v>0</v>
      </c>
      <c r="EI33" s="949">
        <f t="shared" si="10"/>
        <v>2026</v>
      </c>
    </row>
    <row r="34" spans="1:139" x14ac:dyDescent="0.3">
      <c r="A34" s="690"/>
      <c r="B34" s="690"/>
      <c r="C34" s="900" t="s">
        <v>1036</v>
      </c>
      <c r="D34" s="901" t="s">
        <v>1287</v>
      </c>
      <c r="E34" s="4"/>
      <c r="F34" s="4"/>
      <c r="G34" s="5"/>
      <c r="CY34" s="1150" t="s">
        <v>310</v>
      </c>
      <c r="CZ34" s="184">
        <f>CZ33/CZ32</f>
        <v>24.034557968875092</v>
      </c>
      <c r="DA34" s="239"/>
      <c r="DB34" s="239" t="s">
        <v>974</v>
      </c>
      <c r="DC34" s="248" t="s">
        <v>1384</v>
      </c>
      <c r="DD34" s="239"/>
      <c r="DE34" s="181"/>
      <c r="DI34" s="473"/>
      <c r="DN34" s="332" t="s">
        <v>989</v>
      </c>
      <c r="DO34" s="953">
        <f t="shared" si="2"/>
        <v>2027</v>
      </c>
      <c r="DP34" s="691">
        <f t="shared" si="3"/>
        <v>99119674853336.281</v>
      </c>
      <c r="DQ34" s="894">
        <f t="shared" si="4"/>
        <v>2.5000000000000001E-2</v>
      </c>
      <c r="DR34" s="691">
        <f t="shared" si="5"/>
        <v>2477991871333.4072</v>
      </c>
      <c r="DT34" s="76"/>
      <c r="DU34" s="953">
        <f t="shared" si="6"/>
        <v>2027</v>
      </c>
      <c r="DV34" s="691">
        <f>DV20</f>
        <v>10737418.24</v>
      </c>
      <c r="DW34" s="987">
        <v>64</v>
      </c>
      <c r="DX34" s="875">
        <f t="shared" si="0"/>
        <v>687194767.36000001</v>
      </c>
      <c r="DY34" s="977"/>
      <c r="DZ34" s="977"/>
      <c r="EA34" s="691">
        <f t="shared" si="1"/>
        <v>0</v>
      </c>
      <c r="EC34" s="691">
        <f t="shared" si="7"/>
        <v>0</v>
      </c>
      <c r="ED34" s="691">
        <f t="shared" si="8"/>
        <v>10977936408.576</v>
      </c>
      <c r="EE34" s="894">
        <f t="shared" ref="EE34:EE55" si="14">EE33</f>
        <v>0.125</v>
      </c>
      <c r="EF34" s="975">
        <f t="shared" si="11"/>
        <v>1372242051.072</v>
      </c>
      <c r="EG34" s="691">
        <f t="shared" si="13"/>
        <v>6782934576.3680515</v>
      </c>
      <c r="EH34" s="183">
        <f t="shared" si="9"/>
        <v>0</v>
      </c>
      <c r="EI34" s="949">
        <f t="shared" si="10"/>
        <v>2027</v>
      </c>
    </row>
    <row r="35" spans="1:139" x14ac:dyDescent="0.3">
      <c r="A35" s="690"/>
      <c r="B35" s="690"/>
      <c r="C35" s="122" t="s">
        <v>732</v>
      </c>
      <c r="D35" s="287" t="s">
        <v>1288</v>
      </c>
      <c r="E35" s="7" t="s">
        <v>1289</v>
      </c>
      <c r="F35" s="7"/>
      <c r="G35" s="8"/>
      <c r="CX35" s="38"/>
      <c r="CY35" s="1150" t="s">
        <v>785</v>
      </c>
      <c r="CZ35" s="472"/>
      <c r="DA35" s="473"/>
      <c r="DB35" s="472"/>
      <c r="DC35" s="472">
        <f>DB35-CZ35</f>
        <v>0</v>
      </c>
      <c r="DD35" s="473"/>
      <c r="DE35" s="563"/>
      <c r="DF35" s="473"/>
      <c r="DG35" s="473"/>
      <c r="DH35" s="473"/>
      <c r="DI35" s="473"/>
      <c r="DJ35" s="88"/>
      <c r="DK35" s="88"/>
      <c r="DL35" s="88"/>
      <c r="DM35" s="88"/>
      <c r="DN35" s="332" t="s">
        <v>989</v>
      </c>
      <c r="DO35" s="953">
        <f t="shared" si="2"/>
        <v>2028</v>
      </c>
      <c r="DP35" s="691">
        <f t="shared" si="3"/>
        <v>101597666724669.69</v>
      </c>
      <c r="DQ35" s="894">
        <f t="shared" si="4"/>
        <v>2.5000000000000001E-2</v>
      </c>
      <c r="DR35" s="691">
        <f t="shared" si="5"/>
        <v>2539941668116.7422</v>
      </c>
      <c r="DT35" s="76"/>
      <c r="DU35" s="953">
        <f t="shared" si="6"/>
        <v>2028</v>
      </c>
      <c r="DV35" s="691">
        <f>DV20</f>
        <v>10737418.24</v>
      </c>
      <c r="DW35" s="987">
        <v>64</v>
      </c>
      <c r="DX35" s="875">
        <f t="shared" si="0"/>
        <v>687194767.36000001</v>
      </c>
      <c r="DY35" s="977"/>
      <c r="DZ35" s="977"/>
      <c r="EA35" s="691">
        <f t="shared" si="1"/>
        <v>0</v>
      </c>
      <c r="EC35" s="691">
        <f t="shared" si="7"/>
        <v>0</v>
      </c>
      <c r="ED35" s="691">
        <f t="shared" si="8"/>
        <v>10977936408.576</v>
      </c>
      <c r="EE35" s="894">
        <f t="shared" si="14"/>
        <v>0.125</v>
      </c>
      <c r="EF35" s="975">
        <f t="shared" si="11"/>
        <v>1372242051.072</v>
      </c>
      <c r="EG35" s="691">
        <f t="shared" si="13"/>
        <v>6782934576.3680515</v>
      </c>
      <c r="EH35" s="183">
        <f t="shared" si="9"/>
        <v>0</v>
      </c>
      <c r="EI35" s="949">
        <f t="shared" si="10"/>
        <v>2028</v>
      </c>
    </row>
    <row r="36" spans="1:139" x14ac:dyDescent="0.3">
      <c r="A36" s="690"/>
      <c r="B36" s="690"/>
      <c r="C36" s="1151">
        <v>32</v>
      </c>
      <c r="D36" s="411">
        <f>'POP Dimensions'!J15</f>
        <v>21474836.48</v>
      </c>
      <c r="E36" s="411">
        <f>C36*D36</f>
        <v>687194767.36000001</v>
      </c>
      <c r="F36" s="896"/>
      <c r="G36" s="902" t="s">
        <v>732</v>
      </c>
      <c r="CX36" s="38"/>
      <c r="CY36" s="1206" t="s">
        <v>1445</v>
      </c>
      <c r="CZ36" s="1207">
        <f>'POP Dimensions'!L16*150%</f>
        <v>515396075.51999998</v>
      </c>
      <c r="DA36" s="88"/>
      <c r="DB36" s="511"/>
      <c r="DC36" s="511"/>
      <c r="DD36" s="88"/>
      <c r="DE36" s="181"/>
      <c r="DF36" s="88"/>
      <c r="DG36" s="88"/>
      <c r="DH36" s="616">
        <f>DE47*DJ47</f>
        <v>920424716793.65088</v>
      </c>
      <c r="DI36" s="617" t="s">
        <v>778</v>
      </c>
      <c r="DJ36" s="88"/>
      <c r="DK36" s="88"/>
      <c r="DL36" s="88"/>
      <c r="DM36" s="88"/>
      <c r="DN36" s="332" t="s">
        <v>989</v>
      </c>
      <c r="DO36" s="953">
        <f>DO35+1</f>
        <v>2029</v>
      </c>
      <c r="DP36" s="691">
        <f>DP35+DR35</f>
        <v>104137608392786.44</v>
      </c>
      <c r="DQ36" s="894">
        <f>DQ35</f>
        <v>2.5000000000000001E-2</v>
      </c>
      <c r="DR36" s="691">
        <f>DP36*DQ36</f>
        <v>2603440209819.6611</v>
      </c>
      <c r="DT36" s="76"/>
      <c r="DU36" s="953">
        <f>DU35+1</f>
        <v>2029</v>
      </c>
      <c r="DV36" s="691">
        <f>DV20</f>
        <v>10737418.24</v>
      </c>
      <c r="DW36" s="987">
        <v>64</v>
      </c>
      <c r="DX36" s="875">
        <f>DW36*DV36</f>
        <v>687194767.36000001</v>
      </c>
      <c r="DY36" s="977"/>
      <c r="DZ36" s="977"/>
      <c r="EA36" s="691">
        <f>DX36*DY36</f>
        <v>0</v>
      </c>
      <c r="EC36" s="691">
        <f t="shared" si="7"/>
        <v>0</v>
      </c>
      <c r="ED36" s="691">
        <f>EC36+ED35-EH36</f>
        <v>10977936408.576</v>
      </c>
      <c r="EE36" s="894">
        <f t="shared" si="14"/>
        <v>0.125</v>
      </c>
      <c r="EF36" s="975">
        <f t="shared" si="11"/>
        <v>1372242051.072</v>
      </c>
      <c r="EG36" s="691">
        <f t="shared" si="13"/>
        <v>6782934576.3680515</v>
      </c>
      <c r="EH36" s="183">
        <f>DX36*DZ36</f>
        <v>0</v>
      </c>
      <c r="EI36" s="949">
        <f t="shared" si="10"/>
        <v>2029</v>
      </c>
    </row>
    <row r="37" spans="1:139" x14ac:dyDescent="0.3">
      <c r="A37" s="690"/>
      <c r="B37" s="690"/>
      <c r="C37" s="1152">
        <f>C36*2</f>
        <v>64</v>
      </c>
      <c r="D37" s="897">
        <f>D36</f>
        <v>21474836.48</v>
      </c>
      <c r="E37" s="897">
        <f t="shared" ref="E37:E43" si="15">C37*D37</f>
        <v>1374389534.72</v>
      </c>
      <c r="F37" s="874"/>
      <c r="G37" s="903" t="s">
        <v>732</v>
      </c>
      <c r="CX37" s="38"/>
      <c r="CY37" s="1206" t="s">
        <v>1444</v>
      </c>
      <c r="CZ37" s="1207">
        <f>'POP Dimensions'!H17*150%</f>
        <v>1030792151.04</v>
      </c>
      <c r="DA37" s="88"/>
      <c r="DB37" s="511"/>
      <c r="DC37" s="511"/>
      <c r="DD37" s="88"/>
      <c r="DE37" s="181"/>
      <c r="DF37" s="88"/>
      <c r="DG37" s="88"/>
      <c r="DH37" s="616"/>
      <c r="DI37" s="617"/>
      <c r="DJ37" s="88"/>
      <c r="DK37" s="88"/>
      <c r="DL37" s="88"/>
      <c r="DM37" s="88"/>
      <c r="DN37" s="332" t="s">
        <v>989</v>
      </c>
      <c r="DO37" s="953">
        <f>DO36+1</f>
        <v>2030</v>
      </c>
      <c r="DP37" s="691">
        <f>DP36+DR36</f>
        <v>106741048602606.09</v>
      </c>
      <c r="DQ37" s="894">
        <f>DQ36</f>
        <v>2.5000000000000001E-2</v>
      </c>
      <c r="DR37" s="691">
        <f>DP37*DQ37</f>
        <v>2668526215065.1523</v>
      </c>
      <c r="DT37" s="76"/>
      <c r="DU37" s="953">
        <f>DU36+1</f>
        <v>2030</v>
      </c>
      <c r="DV37" s="691">
        <f>DV20</f>
        <v>10737418.24</v>
      </c>
      <c r="DW37" s="987">
        <v>64</v>
      </c>
      <c r="DX37" s="875">
        <f t="shared" ref="DX37:DX55" si="16">DW37*DV37</f>
        <v>687194767.36000001</v>
      </c>
      <c r="DY37" s="977"/>
      <c r="DZ37" s="977"/>
      <c r="EA37" s="691">
        <f t="shared" ref="EA37:EA55" si="17">DX37*DY37</f>
        <v>0</v>
      </c>
      <c r="EC37" s="691">
        <f t="shared" si="7"/>
        <v>0</v>
      </c>
      <c r="ED37" s="691">
        <f>EC37+ED36-EH37</f>
        <v>10977936408.576</v>
      </c>
      <c r="EE37" s="894">
        <f t="shared" si="14"/>
        <v>0.125</v>
      </c>
      <c r="EF37" s="975">
        <f t="shared" si="11"/>
        <v>1372242051.072</v>
      </c>
      <c r="EG37" s="691">
        <f t="shared" si="13"/>
        <v>6782934576.3680515</v>
      </c>
      <c r="EH37" s="183">
        <f>DX37*DZ37</f>
        <v>0</v>
      </c>
      <c r="EI37" s="949">
        <f t="shared" si="10"/>
        <v>2030</v>
      </c>
    </row>
    <row r="38" spans="1:139" x14ac:dyDescent="0.3">
      <c r="A38" s="690"/>
      <c r="B38" s="690"/>
      <c r="C38" s="1121">
        <f>C37*2</f>
        <v>128</v>
      </c>
      <c r="D38" s="875">
        <f t="shared" ref="D38:D43" si="18">D37</f>
        <v>21474836.48</v>
      </c>
      <c r="E38" s="875">
        <f t="shared" si="15"/>
        <v>2748779069.4400001</v>
      </c>
      <c r="F38" s="410"/>
      <c r="G38" s="126" t="s">
        <v>732</v>
      </c>
      <c r="CU38" s="1162" t="s">
        <v>1435</v>
      </c>
      <c r="CV38" s="1160"/>
      <c r="CW38" s="1160"/>
      <c r="CX38" s="1160"/>
      <c r="CY38" s="1161" t="s">
        <v>1284</v>
      </c>
      <c r="CZ38" s="1164">
        <f>'POP Dimensions'!L16*150%</f>
        <v>515396075.51999998</v>
      </c>
      <c r="DA38" s="88"/>
      <c r="DB38" s="88"/>
      <c r="DC38" s="253"/>
      <c r="DD38" s="88"/>
      <c r="DE38" s="181"/>
      <c r="DN38" s="332" t="s">
        <v>989</v>
      </c>
      <c r="DO38" s="953">
        <f>DO37+1</f>
        <v>2031</v>
      </c>
      <c r="DP38" s="691">
        <f>DP37+DR37</f>
        <v>109409574817671.25</v>
      </c>
      <c r="DQ38" s="894">
        <f>DQ37</f>
        <v>2.5000000000000001E-2</v>
      </c>
      <c r="DR38" s="691">
        <f>DP38*DQ38</f>
        <v>2735239370441.7813</v>
      </c>
      <c r="DT38" s="76"/>
      <c r="DU38" s="953">
        <f t="shared" ref="DU38:DU55" si="19">DU37+1</f>
        <v>2031</v>
      </c>
      <c r="DV38" s="691">
        <f>DV20</f>
        <v>10737418.24</v>
      </c>
      <c r="DW38" s="987">
        <v>64</v>
      </c>
      <c r="DX38" s="875">
        <f t="shared" si="16"/>
        <v>687194767.36000001</v>
      </c>
      <c r="DY38" s="977"/>
      <c r="DZ38" s="977"/>
      <c r="EA38" s="691">
        <f t="shared" si="17"/>
        <v>0</v>
      </c>
      <c r="EC38" s="691">
        <f t="shared" si="7"/>
        <v>0</v>
      </c>
      <c r="ED38" s="691">
        <f t="shared" ref="ED38:ED55" si="20">EC38+ED37-EH38</f>
        <v>10977936408.576</v>
      </c>
      <c r="EE38" s="894">
        <f t="shared" si="14"/>
        <v>0.125</v>
      </c>
      <c r="EF38" s="975">
        <f t="shared" si="11"/>
        <v>1372242051.072</v>
      </c>
      <c r="EG38" s="691">
        <f t="shared" si="13"/>
        <v>6782934576.3680515</v>
      </c>
      <c r="EH38" s="183">
        <f t="shared" ref="EH38:EH55" si="21">DX38*DZ38</f>
        <v>0</v>
      </c>
      <c r="EI38" s="949">
        <f t="shared" si="10"/>
        <v>2031</v>
      </c>
    </row>
    <row r="39" spans="1:139" x14ac:dyDescent="0.3">
      <c r="A39" s="690"/>
      <c r="B39" s="690"/>
      <c r="C39" s="1151">
        <f>C38*2</f>
        <v>256</v>
      </c>
      <c r="D39" s="411">
        <f t="shared" si="18"/>
        <v>21474836.48</v>
      </c>
      <c r="E39" s="411">
        <f t="shared" si="15"/>
        <v>5497558138.8800001</v>
      </c>
      <c r="F39" s="896"/>
      <c r="G39" s="902" t="s">
        <v>732</v>
      </c>
      <c r="CU39" s="1163" t="s">
        <v>1436</v>
      </c>
      <c r="CY39" s="1155" t="s">
        <v>1279</v>
      </c>
      <c r="CZ39" s="1164">
        <v>-25000000000</v>
      </c>
      <c r="DA39" s="208">
        <v>0.05</v>
      </c>
      <c r="DB39" s="76">
        <f>CZ49*DA39</f>
        <v>23893904775.382843</v>
      </c>
      <c r="DC39" s="253" t="s">
        <v>1465</v>
      </c>
      <c r="DD39" s="88"/>
      <c r="DE39" s="181"/>
      <c r="DH39" s="616"/>
      <c r="DI39" s="617"/>
      <c r="DN39" s="332" t="s">
        <v>989</v>
      </c>
      <c r="DO39" s="953">
        <f>DO38+1</f>
        <v>2032</v>
      </c>
      <c r="DP39" s="691">
        <f>DP38+DR38</f>
        <v>112144814188113.03</v>
      </c>
      <c r="DQ39" s="894">
        <f>DQ38</f>
        <v>2.5000000000000001E-2</v>
      </c>
      <c r="DR39" s="691">
        <f>DP39*DQ39</f>
        <v>2803620354702.8262</v>
      </c>
      <c r="DS39" s="895" t="s">
        <v>1281</v>
      </c>
      <c r="DT39" s="76"/>
      <c r="DU39" s="953">
        <f t="shared" si="19"/>
        <v>2032</v>
      </c>
      <c r="DV39" s="691">
        <f t="shared" ref="DV39:DV55" si="22">DV29</f>
        <v>10737418.24</v>
      </c>
      <c r="DW39" s="987">
        <v>64</v>
      </c>
      <c r="DX39" s="875">
        <f t="shared" si="16"/>
        <v>687194767.36000001</v>
      </c>
      <c r="DY39" s="977"/>
      <c r="DZ39" s="977"/>
      <c r="EA39" s="691">
        <f t="shared" si="17"/>
        <v>0</v>
      </c>
      <c r="EC39" s="691">
        <f t="shared" si="7"/>
        <v>0</v>
      </c>
      <c r="ED39" s="691">
        <f t="shared" si="20"/>
        <v>10977936408.576</v>
      </c>
      <c r="EE39" s="894">
        <f t="shared" si="14"/>
        <v>0.125</v>
      </c>
      <c r="EF39" s="975">
        <f t="shared" si="11"/>
        <v>1372242051.072</v>
      </c>
      <c r="EG39" s="691">
        <f t="shared" si="13"/>
        <v>6782934576.3680515</v>
      </c>
      <c r="EH39" s="183">
        <f t="shared" si="21"/>
        <v>0</v>
      </c>
      <c r="EI39" s="949">
        <f t="shared" si="10"/>
        <v>2032</v>
      </c>
    </row>
    <row r="40" spans="1:139" x14ac:dyDescent="0.3">
      <c r="A40" s="690"/>
      <c r="B40" s="690"/>
      <c r="C40" s="1152">
        <f t="shared" ref="C40:C43" si="23">C39*2</f>
        <v>512</v>
      </c>
      <c r="D40" s="897">
        <f t="shared" si="18"/>
        <v>21474836.48</v>
      </c>
      <c r="E40" s="897">
        <f t="shared" si="15"/>
        <v>10995116277.76</v>
      </c>
      <c r="F40" s="874"/>
      <c r="G40" s="903" t="s">
        <v>732</v>
      </c>
      <c r="CY40" s="1156" t="s">
        <v>1277</v>
      </c>
      <c r="CZ40" s="1164">
        <f>'POP Dimensions'!J17</f>
        <v>1374389534.72</v>
      </c>
      <c r="DA40" s="88"/>
      <c r="DB40" s="253"/>
      <c r="DC40" s="253"/>
      <c r="DD40" s="253"/>
      <c r="DE40" s="181"/>
      <c r="DH40" s="616"/>
      <c r="DI40" s="617"/>
      <c r="DN40" s="332" t="s">
        <v>989</v>
      </c>
      <c r="DO40" s="953">
        <f t="shared" ref="DO40:DO55" si="24">DO39+1</f>
        <v>2033</v>
      </c>
      <c r="DP40" s="691">
        <f t="shared" ref="DP40:DP55" si="25">DP39+DR39</f>
        <v>114948434542815.86</v>
      </c>
      <c r="DQ40" s="894">
        <f t="shared" ref="DQ40:DQ55" si="26">DQ39</f>
        <v>2.5000000000000001E-2</v>
      </c>
      <c r="DR40" s="691">
        <f t="shared" ref="DR40:DR55" si="27">DP40*DQ40</f>
        <v>2873710863570.3965</v>
      </c>
      <c r="DT40" s="76"/>
      <c r="DU40" s="953">
        <f t="shared" si="19"/>
        <v>2033</v>
      </c>
      <c r="DV40" s="691">
        <f t="shared" si="22"/>
        <v>10737418.24</v>
      </c>
      <c r="DW40" s="987">
        <v>64</v>
      </c>
      <c r="DX40" s="875">
        <f t="shared" si="16"/>
        <v>687194767.36000001</v>
      </c>
      <c r="DY40" s="969"/>
      <c r="DZ40" s="977"/>
      <c r="EA40" s="691">
        <f t="shared" si="17"/>
        <v>0</v>
      </c>
      <c r="EC40" s="691">
        <f t="shared" si="7"/>
        <v>0</v>
      </c>
      <c r="ED40" s="691">
        <f t="shared" si="20"/>
        <v>10977936408.576</v>
      </c>
      <c r="EE40" s="894">
        <f t="shared" si="14"/>
        <v>0.125</v>
      </c>
      <c r="EF40" s="975">
        <f t="shared" si="11"/>
        <v>1372242051.072</v>
      </c>
      <c r="EG40" s="691">
        <f t="shared" si="13"/>
        <v>6782934576.3680515</v>
      </c>
      <c r="EH40" s="183">
        <f t="shared" si="21"/>
        <v>0</v>
      </c>
      <c r="EI40" s="949">
        <f t="shared" si="10"/>
        <v>2033</v>
      </c>
    </row>
    <row r="41" spans="1:139" x14ac:dyDescent="0.3">
      <c r="A41" s="690"/>
      <c r="B41" s="690"/>
      <c r="C41" s="1121">
        <f t="shared" si="23"/>
        <v>1024</v>
      </c>
      <c r="D41" s="875">
        <f t="shared" si="18"/>
        <v>21474836.48</v>
      </c>
      <c r="E41" s="875">
        <f t="shared" si="15"/>
        <v>21990232555.52</v>
      </c>
      <c r="F41" s="410"/>
      <c r="G41" s="126" t="s">
        <v>732</v>
      </c>
      <c r="CW41" s="173" t="s">
        <v>1433</v>
      </c>
      <c r="CX41" s="1158"/>
      <c r="CY41" s="1159" t="s">
        <v>1285</v>
      </c>
      <c r="CZ41" s="719">
        <f>'POP Dimensions'!H17*250%</f>
        <v>1717986918.4000001</v>
      </c>
      <c r="DA41" s="88"/>
      <c r="DB41" s="253"/>
      <c r="DC41" s="253"/>
      <c r="DD41" s="1215"/>
      <c r="DE41" s="181"/>
      <c r="DH41" s="12" t="s">
        <v>979</v>
      </c>
      <c r="DN41" s="332" t="s">
        <v>989</v>
      </c>
      <c r="DO41" s="953">
        <f t="shared" si="24"/>
        <v>2034</v>
      </c>
      <c r="DP41" s="691">
        <f t="shared" si="25"/>
        <v>117822145406386.25</v>
      </c>
      <c r="DQ41" s="894">
        <f t="shared" si="26"/>
        <v>2.5000000000000001E-2</v>
      </c>
      <c r="DR41" s="691">
        <f t="shared" si="27"/>
        <v>2945553635159.6563</v>
      </c>
      <c r="DT41" s="76"/>
      <c r="DU41" s="953">
        <f t="shared" si="19"/>
        <v>2034</v>
      </c>
      <c r="DV41" s="691">
        <f t="shared" si="22"/>
        <v>10737418.24</v>
      </c>
      <c r="DW41" s="987">
        <v>64</v>
      </c>
      <c r="DX41" s="875">
        <f t="shared" si="16"/>
        <v>687194767.36000001</v>
      </c>
      <c r="DY41" s="969"/>
      <c r="DZ41" s="977"/>
      <c r="EA41" s="691">
        <f t="shared" si="17"/>
        <v>0</v>
      </c>
      <c r="EC41" s="691">
        <f t="shared" si="7"/>
        <v>0</v>
      </c>
      <c r="ED41" s="691">
        <f t="shared" si="20"/>
        <v>10977936408.576</v>
      </c>
      <c r="EE41" s="894">
        <f t="shared" si="14"/>
        <v>0.125</v>
      </c>
      <c r="EF41" s="975">
        <f t="shared" si="11"/>
        <v>1372242051.072</v>
      </c>
      <c r="EG41" s="691">
        <f t="shared" si="13"/>
        <v>6782934576.3680515</v>
      </c>
      <c r="EH41" s="183">
        <f t="shared" si="21"/>
        <v>0</v>
      </c>
      <c r="EI41" s="949">
        <f t="shared" si="10"/>
        <v>2034</v>
      </c>
    </row>
    <row r="42" spans="1:139" x14ac:dyDescent="0.3">
      <c r="A42" s="690"/>
      <c r="B42" s="690"/>
      <c r="C42" s="1153">
        <f t="shared" si="23"/>
        <v>2048</v>
      </c>
      <c r="D42" s="899">
        <f t="shared" si="18"/>
        <v>21474836.48</v>
      </c>
      <c r="E42" s="899">
        <f t="shared" si="15"/>
        <v>43980465111.040001</v>
      </c>
      <c r="F42" s="898"/>
      <c r="G42" s="905" t="s">
        <v>732</v>
      </c>
      <c r="CW42" s="618" t="s">
        <v>1434</v>
      </c>
      <c r="CY42" s="1155" t="s">
        <v>1278</v>
      </c>
      <c r="CZ42" s="1164">
        <f>'Network Cities'!S37*8</f>
        <v>23550000004</v>
      </c>
      <c r="DA42" s="88"/>
      <c r="DB42" s="253"/>
      <c r="DC42" s="253"/>
      <c r="DD42" s="1215"/>
      <c r="DE42" s="181"/>
      <c r="DH42" s="12"/>
      <c r="DN42" s="332" t="s">
        <v>989</v>
      </c>
      <c r="DO42" s="953">
        <f t="shared" si="24"/>
        <v>2035</v>
      </c>
      <c r="DP42" s="691">
        <f t="shared" si="25"/>
        <v>120767699041545.91</v>
      </c>
      <c r="DQ42" s="894">
        <f t="shared" si="26"/>
        <v>2.5000000000000001E-2</v>
      </c>
      <c r="DR42" s="691">
        <f t="shared" si="27"/>
        <v>3019192476038.6479</v>
      </c>
      <c r="DT42" s="76"/>
      <c r="DU42" s="953">
        <f t="shared" si="19"/>
        <v>2035</v>
      </c>
      <c r="DV42" s="691">
        <f t="shared" si="22"/>
        <v>10737418.24</v>
      </c>
      <c r="DW42" s="987">
        <v>64</v>
      </c>
      <c r="DX42" s="875">
        <f t="shared" si="16"/>
        <v>687194767.36000001</v>
      </c>
      <c r="DY42" s="969"/>
      <c r="DZ42" s="977"/>
      <c r="EA42" s="691">
        <f t="shared" si="17"/>
        <v>0</v>
      </c>
      <c r="EC42" s="691">
        <f t="shared" si="7"/>
        <v>0</v>
      </c>
      <c r="ED42" s="691">
        <f t="shared" si="20"/>
        <v>10977936408.576</v>
      </c>
      <c r="EE42" s="894">
        <f t="shared" si="14"/>
        <v>0.125</v>
      </c>
      <c r="EF42" s="975">
        <f t="shared" si="11"/>
        <v>1372242051.072</v>
      </c>
      <c r="EG42" s="691">
        <f t="shared" si="13"/>
        <v>6782934576.3680515</v>
      </c>
      <c r="EH42" s="183">
        <f t="shared" si="21"/>
        <v>0</v>
      </c>
      <c r="EI42" s="949">
        <f t="shared" si="10"/>
        <v>2035</v>
      </c>
    </row>
    <row r="43" spans="1:139" x14ac:dyDescent="0.3">
      <c r="A43" s="690"/>
      <c r="B43" s="690"/>
      <c r="C43" s="1154">
        <f t="shared" si="23"/>
        <v>4096</v>
      </c>
      <c r="D43" s="906">
        <f t="shared" si="18"/>
        <v>21474836.48</v>
      </c>
      <c r="E43" s="906">
        <f t="shared" si="15"/>
        <v>87960930222.080002</v>
      </c>
      <c r="F43" s="907"/>
      <c r="G43" s="908" t="s">
        <v>732</v>
      </c>
      <c r="CY43" s="1155" t="s">
        <v>1161</v>
      </c>
      <c r="CZ43" s="1164">
        <f>'POP Dimensions'!H17*200%</f>
        <v>1374389534.72</v>
      </c>
      <c r="DA43" s="88"/>
      <c r="DB43" s="600"/>
      <c r="DC43" s="253"/>
      <c r="DD43" s="253"/>
      <c r="DE43" s="181"/>
      <c r="DH43" s="12"/>
      <c r="DN43" s="332" t="s">
        <v>989</v>
      </c>
      <c r="DO43" s="953">
        <f t="shared" si="24"/>
        <v>2036</v>
      </c>
      <c r="DP43" s="691">
        <f t="shared" si="25"/>
        <v>123786891517584.55</v>
      </c>
      <c r="DQ43" s="894">
        <f t="shared" si="26"/>
        <v>2.5000000000000001E-2</v>
      </c>
      <c r="DR43" s="691">
        <f t="shared" si="27"/>
        <v>3094672287939.6138</v>
      </c>
      <c r="DT43" s="76"/>
      <c r="DU43" s="953">
        <f t="shared" si="19"/>
        <v>2036</v>
      </c>
      <c r="DV43" s="691">
        <f t="shared" si="22"/>
        <v>10737418.24</v>
      </c>
      <c r="DW43" s="987">
        <v>64</v>
      </c>
      <c r="DX43" s="875">
        <f t="shared" si="16"/>
        <v>687194767.36000001</v>
      </c>
      <c r="DY43" s="969"/>
      <c r="DZ43" s="977"/>
      <c r="EA43" s="691">
        <f t="shared" si="17"/>
        <v>0</v>
      </c>
      <c r="EC43" s="691">
        <f t="shared" si="7"/>
        <v>0</v>
      </c>
      <c r="ED43" s="691">
        <f t="shared" si="20"/>
        <v>10977936408.576</v>
      </c>
      <c r="EE43" s="894">
        <f t="shared" si="14"/>
        <v>0.125</v>
      </c>
      <c r="EF43" s="975">
        <f t="shared" si="11"/>
        <v>1372242051.072</v>
      </c>
      <c r="EG43" s="691">
        <f t="shared" si="13"/>
        <v>6782934576.3680515</v>
      </c>
      <c r="EH43" s="183">
        <f t="shared" si="21"/>
        <v>0</v>
      </c>
      <c r="EI43" s="949">
        <f t="shared" si="10"/>
        <v>2036</v>
      </c>
    </row>
    <row r="44" spans="1:139" x14ac:dyDescent="0.3">
      <c r="A44" s="690"/>
      <c r="B44" s="690"/>
      <c r="CW44" s="1162" t="s">
        <v>1433</v>
      </c>
      <c r="CX44" s="1160"/>
      <c r="CY44" s="1161" t="s">
        <v>1249</v>
      </c>
      <c r="CZ44" s="1164">
        <f>'POP Dimensions'!J17*150%</f>
        <v>2061584302.0799999</v>
      </c>
      <c r="DA44" s="88"/>
      <c r="DB44" s="253"/>
      <c r="DC44" s="254"/>
      <c r="DD44" s="253"/>
      <c r="DE44" s="181"/>
      <c r="DH44" s="12"/>
      <c r="DN44" s="332" t="s">
        <v>989</v>
      </c>
      <c r="DO44" s="953">
        <f t="shared" si="24"/>
        <v>2037</v>
      </c>
      <c r="DP44" s="691">
        <f t="shared" si="25"/>
        <v>126881563805524.16</v>
      </c>
      <c r="DQ44" s="894">
        <f t="shared" si="26"/>
        <v>2.5000000000000001E-2</v>
      </c>
      <c r="DR44" s="691">
        <f t="shared" si="27"/>
        <v>3172039095138.104</v>
      </c>
      <c r="DT44" s="76"/>
      <c r="DU44" s="953">
        <f t="shared" si="19"/>
        <v>2037</v>
      </c>
      <c r="DV44" s="691">
        <f t="shared" si="22"/>
        <v>10737418.24</v>
      </c>
      <c r="DW44" s="987">
        <v>64</v>
      </c>
      <c r="DX44" s="875">
        <f t="shared" si="16"/>
        <v>687194767.36000001</v>
      </c>
      <c r="DY44" s="969"/>
      <c r="DZ44" s="977"/>
      <c r="EA44" s="691">
        <f t="shared" si="17"/>
        <v>0</v>
      </c>
      <c r="EC44" s="691">
        <f t="shared" si="7"/>
        <v>0</v>
      </c>
      <c r="ED44" s="691">
        <f t="shared" si="20"/>
        <v>10977936408.576</v>
      </c>
      <c r="EE44" s="894">
        <f t="shared" si="14"/>
        <v>0.125</v>
      </c>
      <c r="EF44" s="975">
        <f t="shared" si="11"/>
        <v>1372242051.072</v>
      </c>
      <c r="EG44" s="691">
        <f t="shared" si="13"/>
        <v>6782934576.3680515</v>
      </c>
      <c r="EH44" s="183">
        <f t="shared" si="21"/>
        <v>0</v>
      </c>
      <c r="EI44" s="949">
        <f t="shared" si="10"/>
        <v>2037</v>
      </c>
    </row>
    <row r="45" spans="1:139" x14ac:dyDescent="0.3">
      <c r="A45" s="690"/>
      <c r="B45" s="690"/>
      <c r="CW45" s="1163" t="s">
        <v>1437</v>
      </c>
      <c r="CY45" s="1157" t="s">
        <v>148</v>
      </c>
      <c r="CZ45" s="1164">
        <v>0</v>
      </c>
      <c r="DA45" s="88"/>
      <c r="DB45" s="254"/>
      <c r="DC45" s="254"/>
      <c r="DD45" s="253"/>
      <c r="DE45" s="181"/>
      <c r="DH45" s="12"/>
      <c r="DN45" s="332" t="s">
        <v>989</v>
      </c>
      <c r="DO45" s="953">
        <f t="shared" si="24"/>
        <v>2038</v>
      </c>
      <c r="DP45" s="691">
        <f t="shared" si="25"/>
        <v>130053602900662.27</v>
      </c>
      <c r="DQ45" s="894">
        <f t="shared" si="26"/>
        <v>2.5000000000000001E-2</v>
      </c>
      <c r="DR45" s="691">
        <f t="shared" si="27"/>
        <v>3251340072516.5566</v>
      </c>
      <c r="DT45" s="76"/>
      <c r="DU45" s="953">
        <f t="shared" si="19"/>
        <v>2038</v>
      </c>
      <c r="DV45" s="691">
        <f t="shared" si="22"/>
        <v>10737418.24</v>
      </c>
      <c r="DW45" s="987">
        <v>64</v>
      </c>
      <c r="DX45" s="875">
        <f t="shared" si="16"/>
        <v>687194767.36000001</v>
      </c>
      <c r="DY45" s="969"/>
      <c r="DZ45" s="977"/>
      <c r="EA45" s="691">
        <f t="shared" si="17"/>
        <v>0</v>
      </c>
      <c r="EC45" s="691">
        <f t="shared" si="7"/>
        <v>0</v>
      </c>
      <c r="ED45" s="691">
        <f t="shared" si="20"/>
        <v>10977936408.576</v>
      </c>
      <c r="EE45" s="894">
        <f t="shared" si="14"/>
        <v>0.125</v>
      </c>
      <c r="EF45" s="975">
        <f t="shared" si="11"/>
        <v>1372242051.072</v>
      </c>
      <c r="EG45" s="691">
        <f t="shared" si="13"/>
        <v>6782934576.3680515</v>
      </c>
      <c r="EH45" s="183">
        <f t="shared" si="21"/>
        <v>0</v>
      </c>
      <c r="EI45" s="949">
        <f t="shared" si="10"/>
        <v>2038</v>
      </c>
    </row>
    <row r="46" spans="1:139" x14ac:dyDescent="0.3">
      <c r="A46" s="690"/>
      <c r="B46" s="690"/>
      <c r="CY46" s="1150" t="s">
        <v>948</v>
      </c>
      <c r="CZ46" s="1216">
        <f>'2037 - ŔÉŚ 14. Śpin 24'!DF29</f>
        <v>22911540604.134514</v>
      </c>
      <c r="DA46" s="88"/>
      <c r="DB46" s="253"/>
      <c r="DC46" s="253"/>
      <c r="DD46" s="253"/>
      <c r="DE46" s="181" t="s">
        <v>805</v>
      </c>
      <c r="DF46" s="1" t="s">
        <v>998</v>
      </c>
      <c r="DH46" s="19">
        <v>0.01</v>
      </c>
      <c r="DN46" s="332" t="s">
        <v>989</v>
      </c>
      <c r="DO46" s="953">
        <f t="shared" si="24"/>
        <v>2039</v>
      </c>
      <c r="DP46" s="691">
        <f t="shared" si="25"/>
        <v>133304942973178.83</v>
      </c>
      <c r="DQ46" s="894">
        <f t="shared" si="26"/>
        <v>2.5000000000000001E-2</v>
      </c>
      <c r="DR46" s="691">
        <f t="shared" si="27"/>
        <v>3332623574329.4707</v>
      </c>
      <c r="DT46" s="76"/>
      <c r="DU46" s="953">
        <f t="shared" si="19"/>
        <v>2039</v>
      </c>
      <c r="DV46" s="691">
        <f t="shared" si="22"/>
        <v>10737418.24</v>
      </c>
      <c r="DW46" s="987">
        <v>64</v>
      </c>
      <c r="DX46" s="875">
        <f t="shared" si="16"/>
        <v>687194767.36000001</v>
      </c>
      <c r="DY46" s="969"/>
      <c r="DZ46" s="977"/>
      <c r="EA46" s="691">
        <f t="shared" si="17"/>
        <v>0</v>
      </c>
      <c r="EC46" s="691">
        <f t="shared" si="7"/>
        <v>0</v>
      </c>
      <c r="ED46" s="691">
        <f t="shared" si="20"/>
        <v>10977936408.576</v>
      </c>
      <c r="EE46" s="894">
        <f t="shared" si="14"/>
        <v>0.125</v>
      </c>
      <c r="EF46" s="975">
        <f t="shared" si="11"/>
        <v>1372242051.072</v>
      </c>
      <c r="EG46" s="691">
        <f t="shared" si="13"/>
        <v>6782934576.3680515</v>
      </c>
      <c r="EH46" s="183">
        <f t="shared" si="21"/>
        <v>0</v>
      </c>
      <c r="EI46" s="949">
        <f t="shared" si="10"/>
        <v>2039</v>
      </c>
    </row>
    <row r="47" spans="1:139" x14ac:dyDescent="0.3">
      <c r="K47" s="690"/>
      <c r="CY47" s="122" t="s">
        <v>1385</v>
      </c>
      <c r="CZ47" s="183">
        <f>SUM(CZ35:CZ46)</f>
        <v>30051475200.134518</v>
      </c>
      <c r="DA47" s="251"/>
      <c r="DB47" s="76" t="s">
        <v>805</v>
      </c>
      <c r="DC47" s="691">
        <f>AE82</f>
        <v>6630548568.2489748</v>
      </c>
      <c r="DD47" s="76"/>
      <c r="DE47" s="691">
        <f>DC47</f>
        <v>6630548568.2489748</v>
      </c>
      <c r="DF47" s="691">
        <f>DP31</f>
        <v>92042471679365.094</v>
      </c>
      <c r="DG47" s="76"/>
      <c r="DH47" s="736">
        <f>DF47*DH46</f>
        <v>920424716793.651</v>
      </c>
      <c r="DI47" s="76"/>
      <c r="DJ47" s="208">
        <f>DH47/DE47</f>
        <v>138.81577177508268</v>
      </c>
      <c r="DK47" s="76"/>
      <c r="DL47" s="76"/>
      <c r="DM47" s="76"/>
      <c r="DN47" s="332" t="s">
        <v>989</v>
      </c>
      <c r="DO47" s="953">
        <f t="shared" si="24"/>
        <v>2040</v>
      </c>
      <c r="DP47" s="691">
        <f t="shared" si="25"/>
        <v>136637566547508.3</v>
      </c>
      <c r="DQ47" s="894">
        <f t="shared" si="26"/>
        <v>2.5000000000000001E-2</v>
      </c>
      <c r="DR47" s="691">
        <f t="shared" si="27"/>
        <v>3415939163687.7075</v>
      </c>
      <c r="DT47" s="76"/>
      <c r="DU47" s="953">
        <f t="shared" si="19"/>
        <v>2040</v>
      </c>
      <c r="DV47" s="691">
        <f t="shared" si="22"/>
        <v>10737418.24</v>
      </c>
      <c r="DW47" s="987">
        <v>64</v>
      </c>
      <c r="DX47" s="875">
        <f t="shared" si="16"/>
        <v>687194767.36000001</v>
      </c>
      <c r="DY47" s="969"/>
      <c r="DZ47" s="977"/>
      <c r="EA47" s="691">
        <f t="shared" si="17"/>
        <v>0</v>
      </c>
      <c r="EC47" s="691">
        <f t="shared" si="7"/>
        <v>0</v>
      </c>
      <c r="ED47" s="691">
        <f t="shared" si="20"/>
        <v>10977936408.576</v>
      </c>
      <c r="EE47" s="894">
        <f t="shared" si="14"/>
        <v>0.125</v>
      </c>
      <c r="EF47" s="975">
        <f t="shared" si="11"/>
        <v>1372242051.072</v>
      </c>
      <c r="EG47" s="691">
        <f t="shared" si="13"/>
        <v>6782934576.3680515</v>
      </c>
      <c r="EH47" s="183">
        <f t="shared" si="21"/>
        <v>0</v>
      </c>
      <c r="EI47" s="949">
        <f t="shared" si="10"/>
        <v>2040</v>
      </c>
    </row>
    <row r="48" spans="1:139" ht="16.2" thickBot="1" x14ac:dyDescent="0.35">
      <c r="CY48" s="1150" t="s">
        <v>309</v>
      </c>
      <c r="CZ48" s="182">
        <f>CZ47*CZ34</f>
        <v>722273922747.84521</v>
      </c>
      <c r="DD48" s="565" t="s">
        <v>894</v>
      </c>
      <c r="DE48" s="208">
        <f>DE32/DE47</f>
        <v>72.07218084428527</v>
      </c>
      <c r="DF48" s="367"/>
      <c r="DH48" s="192">
        <f>DE60</f>
        <v>484508644075.90582</v>
      </c>
      <c r="DI48" s="193"/>
      <c r="DJ48" s="1" t="s">
        <v>1339</v>
      </c>
      <c r="DN48" s="332" t="s">
        <v>989</v>
      </c>
      <c r="DO48" s="953">
        <f t="shared" si="24"/>
        <v>2041</v>
      </c>
      <c r="DP48" s="691">
        <f t="shared" si="25"/>
        <v>140053505711196</v>
      </c>
      <c r="DQ48" s="894">
        <f t="shared" si="26"/>
        <v>2.5000000000000001E-2</v>
      </c>
      <c r="DR48" s="691">
        <f t="shared" si="27"/>
        <v>3501337642779.9004</v>
      </c>
      <c r="DT48" s="76"/>
      <c r="DU48" s="953">
        <f t="shared" si="19"/>
        <v>2041</v>
      </c>
      <c r="DV48" s="691">
        <f t="shared" si="22"/>
        <v>10737418.24</v>
      </c>
      <c r="DW48" s="987">
        <v>64</v>
      </c>
      <c r="DX48" s="875">
        <f t="shared" si="16"/>
        <v>687194767.36000001</v>
      </c>
      <c r="DY48" s="969"/>
      <c r="DZ48" s="977"/>
      <c r="EA48" s="691">
        <f t="shared" si="17"/>
        <v>0</v>
      </c>
      <c r="EC48" s="691">
        <f t="shared" si="7"/>
        <v>0</v>
      </c>
      <c r="ED48" s="691">
        <f t="shared" si="20"/>
        <v>10977936408.576</v>
      </c>
      <c r="EE48" s="894">
        <f t="shared" si="14"/>
        <v>0.125</v>
      </c>
      <c r="EF48" s="975">
        <f t="shared" si="11"/>
        <v>1372242051.072</v>
      </c>
      <c r="EG48" s="691">
        <f t="shared" si="13"/>
        <v>6782934576.3680515</v>
      </c>
      <c r="EH48" s="183">
        <f t="shared" si="21"/>
        <v>0</v>
      </c>
      <c r="EI48" s="949">
        <f t="shared" si="10"/>
        <v>2041</v>
      </c>
    </row>
    <row r="49" spans="3:139" ht="16.2" thickBot="1" x14ac:dyDescent="0.35">
      <c r="C49" s="1" t="s">
        <v>801</v>
      </c>
      <c r="CY49" s="1150" t="s">
        <v>308</v>
      </c>
      <c r="CZ49" s="182">
        <f>CZ48*DA49</f>
        <v>477878095507.65686</v>
      </c>
      <c r="DA49" s="680">
        <v>0.66163000000000005</v>
      </c>
      <c r="DB49" s="1" t="s">
        <v>1275</v>
      </c>
      <c r="DD49" s="565" t="s">
        <v>888</v>
      </c>
      <c r="DE49" s="953">
        <v>8</v>
      </c>
      <c r="DF49" s="1" t="s">
        <v>889</v>
      </c>
      <c r="DJ49" s="1" t="s">
        <v>1340</v>
      </c>
      <c r="DN49" s="332" t="s">
        <v>989</v>
      </c>
      <c r="DO49" s="953">
        <f t="shared" si="24"/>
        <v>2042</v>
      </c>
      <c r="DP49" s="691">
        <f t="shared" si="25"/>
        <v>143554843353975.91</v>
      </c>
      <c r="DQ49" s="894">
        <f t="shared" si="26"/>
        <v>2.5000000000000001E-2</v>
      </c>
      <c r="DR49" s="691">
        <f t="shared" si="27"/>
        <v>3588871083849.3979</v>
      </c>
      <c r="DT49" s="76"/>
      <c r="DU49" s="953">
        <f t="shared" si="19"/>
        <v>2042</v>
      </c>
      <c r="DV49" s="691">
        <f t="shared" si="22"/>
        <v>10737418.24</v>
      </c>
      <c r="DW49" s="987">
        <v>64</v>
      </c>
      <c r="DX49" s="875">
        <f t="shared" si="16"/>
        <v>687194767.36000001</v>
      </c>
      <c r="DY49" s="969"/>
      <c r="DZ49" s="977"/>
      <c r="EA49" s="691">
        <f t="shared" si="17"/>
        <v>0</v>
      </c>
      <c r="EC49" s="691">
        <f t="shared" si="7"/>
        <v>0</v>
      </c>
      <c r="ED49" s="691">
        <f t="shared" si="20"/>
        <v>10977936408.576</v>
      </c>
      <c r="EE49" s="894">
        <f t="shared" si="14"/>
        <v>0.125</v>
      </c>
      <c r="EF49" s="975">
        <f t="shared" si="11"/>
        <v>1372242051.072</v>
      </c>
      <c r="EG49" s="691">
        <f t="shared" si="13"/>
        <v>6782934576.3680515</v>
      </c>
      <c r="EH49" s="183">
        <f t="shared" si="21"/>
        <v>0</v>
      </c>
      <c r="EI49" s="949">
        <f t="shared" si="10"/>
        <v>2042</v>
      </c>
    </row>
    <row r="50" spans="3:139" x14ac:dyDescent="0.3">
      <c r="C50" s="13"/>
      <c r="D50" s="4"/>
      <c r="E50" s="120" t="s">
        <v>275</v>
      </c>
      <c r="F50" s="4"/>
      <c r="G50" s="173" t="s">
        <v>288</v>
      </c>
      <c r="H50" s="462" t="s">
        <v>1367</v>
      </c>
      <c r="I50" s="170" t="s">
        <v>1373</v>
      </c>
      <c r="J50" s="175" t="s">
        <v>297</v>
      </c>
      <c r="K50" s="170" t="s">
        <v>802</v>
      </c>
      <c r="CZ50" s="239"/>
      <c r="DB50" s="1" t="s">
        <v>1276</v>
      </c>
      <c r="DD50" s="565" t="s">
        <v>890</v>
      </c>
      <c r="DE50" s="208">
        <f>DE48/DE49</f>
        <v>9.0090226055356588</v>
      </c>
      <c r="DN50" s="332" t="s">
        <v>989</v>
      </c>
      <c r="DO50" s="953">
        <f t="shared" si="24"/>
        <v>2043</v>
      </c>
      <c r="DP50" s="691">
        <f t="shared" si="25"/>
        <v>147143714437825.31</v>
      </c>
      <c r="DQ50" s="894">
        <f t="shared" si="26"/>
        <v>2.5000000000000001E-2</v>
      </c>
      <c r="DR50" s="691">
        <f t="shared" si="27"/>
        <v>3678592860945.6328</v>
      </c>
      <c r="DT50" s="76"/>
      <c r="DU50" s="953">
        <f t="shared" si="19"/>
        <v>2043</v>
      </c>
      <c r="DV50" s="691">
        <f t="shared" si="22"/>
        <v>10737418.24</v>
      </c>
      <c r="DW50" s="987">
        <v>64</v>
      </c>
      <c r="DX50" s="875">
        <f t="shared" si="16"/>
        <v>687194767.36000001</v>
      </c>
      <c r="DY50" s="969"/>
      <c r="DZ50" s="977"/>
      <c r="EA50" s="691">
        <f t="shared" si="17"/>
        <v>0</v>
      </c>
      <c r="EC50" s="691">
        <f t="shared" si="7"/>
        <v>0</v>
      </c>
      <c r="ED50" s="691">
        <f t="shared" si="20"/>
        <v>10977936408.576</v>
      </c>
      <c r="EE50" s="894">
        <f t="shared" si="14"/>
        <v>0.125</v>
      </c>
      <c r="EF50" s="975">
        <f t="shared" si="11"/>
        <v>1372242051.072</v>
      </c>
      <c r="EG50" s="691">
        <f t="shared" si="13"/>
        <v>6782934576.3680515</v>
      </c>
      <c r="EH50" s="183">
        <f t="shared" si="21"/>
        <v>0</v>
      </c>
      <c r="EI50" s="949">
        <f t="shared" si="10"/>
        <v>2043</v>
      </c>
    </row>
    <row r="51" spans="3:139" x14ac:dyDescent="0.3">
      <c r="C51" s="122"/>
      <c r="D51" s="7"/>
      <c r="E51" s="875">
        <f>E8</f>
        <v>30051475200.134518</v>
      </c>
      <c r="F51" s="7"/>
      <c r="G51" s="468" t="s">
        <v>1386</v>
      </c>
      <c r="H51" s="469"/>
      <c r="I51" s="470"/>
      <c r="J51" s="471"/>
      <c r="K51" s="470"/>
      <c r="CZ51" s="277" t="s">
        <v>748</v>
      </c>
      <c r="DD51" s="239"/>
      <c r="DE51" s="76"/>
      <c r="DN51" s="332" t="s">
        <v>989</v>
      </c>
      <c r="DO51" s="953">
        <f t="shared" si="24"/>
        <v>2044</v>
      </c>
      <c r="DP51" s="691">
        <f t="shared" si="25"/>
        <v>150822307298770.94</v>
      </c>
      <c r="DQ51" s="894">
        <f t="shared" si="26"/>
        <v>2.5000000000000001E-2</v>
      </c>
      <c r="DR51" s="691">
        <f t="shared" si="27"/>
        <v>3770557682469.2734</v>
      </c>
      <c r="DT51" s="76"/>
      <c r="DU51" s="953">
        <f t="shared" si="19"/>
        <v>2044</v>
      </c>
      <c r="DV51" s="691">
        <f t="shared" si="22"/>
        <v>10737418.24</v>
      </c>
      <c r="DW51" s="987">
        <v>64</v>
      </c>
      <c r="DX51" s="875">
        <f t="shared" si="16"/>
        <v>687194767.36000001</v>
      </c>
      <c r="DY51" s="969"/>
      <c r="DZ51" s="977"/>
      <c r="EA51" s="691">
        <f t="shared" si="17"/>
        <v>0</v>
      </c>
      <c r="EC51" s="691">
        <f t="shared" si="7"/>
        <v>0</v>
      </c>
      <c r="ED51" s="691">
        <f t="shared" si="20"/>
        <v>10977936408.576</v>
      </c>
      <c r="EE51" s="894">
        <f t="shared" si="14"/>
        <v>0.125</v>
      </c>
      <c r="EF51" s="975">
        <f t="shared" si="11"/>
        <v>1372242051.072</v>
      </c>
      <c r="EG51" s="691">
        <f t="shared" si="13"/>
        <v>6782934576.3680515</v>
      </c>
      <c r="EH51" s="183">
        <f t="shared" si="21"/>
        <v>0</v>
      </c>
      <c r="EI51" s="949">
        <f t="shared" si="10"/>
        <v>2044</v>
      </c>
    </row>
    <row r="52" spans="3:139" ht="16.2" thickBot="1" x14ac:dyDescent="0.35">
      <c r="C52" s="122"/>
      <c r="D52" s="7"/>
      <c r="E52" s="7"/>
      <c r="F52" s="127"/>
      <c r="G52" s="127" t="s">
        <v>280</v>
      </c>
      <c r="H52" s="7"/>
      <c r="I52" s="459" t="s">
        <v>282</v>
      </c>
      <c r="J52" s="122"/>
      <c r="K52" s="8"/>
      <c r="CZ52" s="277" t="s">
        <v>747</v>
      </c>
      <c r="DB52" s="110" t="s">
        <v>746</v>
      </c>
      <c r="DD52" s="565" t="s">
        <v>891</v>
      </c>
      <c r="DE52" s="76"/>
      <c r="DN52" s="332" t="s">
        <v>989</v>
      </c>
      <c r="DO52" s="953">
        <f t="shared" si="24"/>
        <v>2045</v>
      </c>
      <c r="DP52" s="691">
        <f t="shared" si="25"/>
        <v>154592864981240.22</v>
      </c>
      <c r="DQ52" s="894">
        <f t="shared" si="26"/>
        <v>2.5000000000000001E-2</v>
      </c>
      <c r="DR52" s="691">
        <f t="shared" si="27"/>
        <v>3864821624531.0059</v>
      </c>
      <c r="DT52" s="76"/>
      <c r="DU52" s="953">
        <f t="shared" si="19"/>
        <v>2045</v>
      </c>
      <c r="DV52" s="691">
        <f t="shared" si="22"/>
        <v>10737418.24</v>
      </c>
      <c r="DW52" s="987">
        <v>64</v>
      </c>
      <c r="DX52" s="875">
        <f t="shared" si="16"/>
        <v>687194767.36000001</v>
      </c>
      <c r="DY52" s="969"/>
      <c r="DZ52" s="977"/>
      <c r="EA52" s="691">
        <f t="shared" si="17"/>
        <v>0</v>
      </c>
      <c r="EC52" s="691">
        <f t="shared" si="7"/>
        <v>0</v>
      </c>
      <c r="ED52" s="691">
        <f t="shared" si="20"/>
        <v>10977936408.576</v>
      </c>
      <c r="EE52" s="894">
        <f t="shared" si="14"/>
        <v>0.125</v>
      </c>
      <c r="EF52" s="975">
        <f t="shared" si="11"/>
        <v>1372242051.072</v>
      </c>
      <c r="EG52" s="691">
        <f t="shared" si="13"/>
        <v>6782934576.3680515</v>
      </c>
      <c r="EH52" s="183">
        <f t="shared" si="21"/>
        <v>0</v>
      </c>
      <c r="EI52" s="949">
        <f t="shared" si="10"/>
        <v>2045</v>
      </c>
    </row>
    <row r="53" spans="3:139" ht="16.2" thickBot="1" x14ac:dyDescent="0.35">
      <c r="C53" s="122"/>
      <c r="D53" s="7"/>
      <c r="E53" s="7"/>
      <c r="F53" s="129">
        <v>0.25</v>
      </c>
      <c r="G53" s="130">
        <f>E57*F53</f>
        <v>417540447.66153353</v>
      </c>
      <c r="H53" s="460">
        <v>0.5</v>
      </c>
      <c r="I53" s="130">
        <f>G53*H53</f>
        <v>208770223.83076677</v>
      </c>
      <c r="J53" s="460">
        <v>0</v>
      </c>
      <c r="K53" s="458">
        <f>I53*J53</f>
        <v>0</v>
      </c>
      <c r="CX53" s="933">
        <f>DA53</f>
        <v>2048</v>
      </c>
      <c r="CY53" s="927" t="s">
        <v>745</v>
      </c>
      <c r="CZ53" s="578">
        <f>DB53*DA53</f>
        <v>43980465111.040001</v>
      </c>
      <c r="DA53" s="934">
        <v>2048</v>
      </c>
      <c r="DB53" s="578">
        <f>'POP Dimensions'!J15</f>
        <v>21474836.48</v>
      </c>
      <c r="DC53" s="239"/>
      <c r="DD53" s="565" t="s">
        <v>901</v>
      </c>
      <c r="DE53" s="484">
        <v>0.17</v>
      </c>
      <c r="DF53" s="1" t="s">
        <v>895</v>
      </c>
      <c r="DN53" s="332" t="s">
        <v>989</v>
      </c>
      <c r="DO53" s="953">
        <f t="shared" si="24"/>
        <v>2046</v>
      </c>
      <c r="DP53" s="691">
        <f t="shared" si="25"/>
        <v>158457686605771.22</v>
      </c>
      <c r="DQ53" s="894">
        <f t="shared" si="26"/>
        <v>2.5000000000000001E-2</v>
      </c>
      <c r="DR53" s="691">
        <f t="shared" si="27"/>
        <v>3961442165144.2808</v>
      </c>
      <c r="DT53" s="76"/>
      <c r="DU53" s="953">
        <f t="shared" si="19"/>
        <v>2046</v>
      </c>
      <c r="DV53" s="691">
        <f t="shared" si="22"/>
        <v>10737418.24</v>
      </c>
      <c r="DW53" s="987">
        <v>64</v>
      </c>
      <c r="DX53" s="875">
        <f t="shared" si="16"/>
        <v>687194767.36000001</v>
      </c>
      <c r="DY53" s="969"/>
      <c r="DZ53" s="977"/>
      <c r="EA53" s="691">
        <f t="shared" si="17"/>
        <v>0</v>
      </c>
      <c r="EC53" s="691">
        <f t="shared" si="7"/>
        <v>0</v>
      </c>
      <c r="ED53" s="691">
        <f t="shared" si="20"/>
        <v>10977936408.576</v>
      </c>
      <c r="EE53" s="894">
        <f t="shared" si="14"/>
        <v>0.125</v>
      </c>
      <c r="EF53" s="975">
        <f t="shared" si="11"/>
        <v>1372242051.072</v>
      </c>
      <c r="EG53" s="691">
        <f t="shared" si="13"/>
        <v>6782934576.3680515</v>
      </c>
      <c r="EH53" s="183">
        <f t="shared" si="21"/>
        <v>0</v>
      </c>
      <c r="EI53" s="949">
        <f t="shared" si="10"/>
        <v>2046</v>
      </c>
    </row>
    <row r="54" spans="3:139" ht="16.2" thickBot="1" x14ac:dyDescent="0.35">
      <c r="C54" s="122"/>
      <c r="D54" s="7"/>
      <c r="E54" s="7"/>
      <c r="F54" s="133"/>
      <c r="G54" s="134" t="s">
        <v>290</v>
      </c>
      <c r="H54" s="7"/>
      <c r="I54" s="457" t="s">
        <v>283</v>
      </c>
      <c r="J54" s="122"/>
      <c r="K54" s="8"/>
      <c r="CX54" s="927"/>
      <c r="CZ54" s="999" t="s">
        <v>1355</v>
      </c>
      <c r="DA54" s="254"/>
      <c r="DB54" s="248" t="s">
        <v>1290</v>
      </c>
      <c r="DD54" s="566"/>
      <c r="DE54" s="76"/>
      <c r="DN54" s="332" t="s">
        <v>989</v>
      </c>
      <c r="DO54" s="953">
        <f t="shared" si="24"/>
        <v>2047</v>
      </c>
      <c r="DP54" s="691">
        <f t="shared" si="25"/>
        <v>162419128770915.5</v>
      </c>
      <c r="DQ54" s="894">
        <f t="shared" si="26"/>
        <v>2.5000000000000001E-2</v>
      </c>
      <c r="DR54" s="691">
        <f t="shared" si="27"/>
        <v>4060478219272.8877</v>
      </c>
      <c r="DT54" s="76"/>
      <c r="DU54" s="953">
        <f t="shared" si="19"/>
        <v>2047</v>
      </c>
      <c r="DV54" s="691">
        <f t="shared" si="22"/>
        <v>10737418.24</v>
      </c>
      <c r="DW54" s="987">
        <v>64</v>
      </c>
      <c r="DX54" s="875">
        <f t="shared" si="16"/>
        <v>687194767.36000001</v>
      </c>
      <c r="DY54" s="969"/>
      <c r="DZ54" s="977"/>
      <c r="EA54" s="691">
        <f t="shared" si="17"/>
        <v>0</v>
      </c>
      <c r="EC54" s="691">
        <f t="shared" si="7"/>
        <v>0</v>
      </c>
      <c r="ED54" s="691">
        <f t="shared" si="20"/>
        <v>10977936408.576</v>
      </c>
      <c r="EE54" s="894">
        <f t="shared" si="14"/>
        <v>0.125</v>
      </c>
      <c r="EF54" s="975">
        <f t="shared" si="11"/>
        <v>1372242051.072</v>
      </c>
      <c r="EG54" s="691">
        <f t="shared" si="13"/>
        <v>6782934576.3680515</v>
      </c>
      <c r="EH54" s="183">
        <f t="shared" si="21"/>
        <v>0</v>
      </c>
      <c r="EI54" s="949">
        <f t="shared" si="10"/>
        <v>2047</v>
      </c>
    </row>
    <row r="55" spans="3:139" ht="16.2" thickBot="1" x14ac:dyDescent="0.35">
      <c r="C55" s="122"/>
      <c r="D55" s="7"/>
      <c r="E55" s="7"/>
      <c r="F55" s="133">
        <v>0.25</v>
      </c>
      <c r="G55" s="135">
        <f>E57*F55</f>
        <v>417540447.66153353</v>
      </c>
      <c r="H55" s="461">
        <v>0.9</v>
      </c>
      <c r="I55" s="135">
        <f>G55*H55</f>
        <v>375786402.8953802</v>
      </c>
      <c r="J55" s="461">
        <v>0</v>
      </c>
      <c r="K55" s="440">
        <f>I55*J55</f>
        <v>0</v>
      </c>
      <c r="CX55" s="239"/>
      <c r="CZ55" s="1002" t="s">
        <v>867</v>
      </c>
      <c r="DA55" s="254"/>
      <c r="DB55" s="253"/>
      <c r="DD55" s="239"/>
      <c r="DE55" s="484">
        <v>0.17</v>
      </c>
      <c r="DF55" s="32">
        <f>DE55</f>
        <v>0.17</v>
      </c>
      <c r="DN55" s="332" t="s">
        <v>989</v>
      </c>
      <c r="DO55" s="953">
        <f t="shared" si="24"/>
        <v>2048</v>
      </c>
      <c r="DP55" s="691">
        <f t="shared" si="25"/>
        <v>166479606990188.38</v>
      </c>
      <c r="DQ55" s="894">
        <f t="shared" si="26"/>
        <v>2.5000000000000001E-2</v>
      </c>
      <c r="DR55" s="691">
        <f t="shared" si="27"/>
        <v>4161990174754.7095</v>
      </c>
      <c r="DS55" s="895" t="s">
        <v>1280</v>
      </c>
      <c r="DT55" s="76"/>
      <c r="DU55" s="953">
        <f t="shared" si="19"/>
        <v>2048</v>
      </c>
      <c r="DV55" s="691">
        <f t="shared" si="22"/>
        <v>10737418.24</v>
      </c>
      <c r="DW55" s="987">
        <v>64</v>
      </c>
      <c r="DX55" s="875">
        <f t="shared" si="16"/>
        <v>687194767.36000001</v>
      </c>
      <c r="DY55" s="969"/>
      <c r="DZ55" s="977"/>
      <c r="EA55" s="691">
        <f t="shared" si="17"/>
        <v>0</v>
      </c>
      <c r="EC55" s="691">
        <f t="shared" si="7"/>
        <v>0</v>
      </c>
      <c r="ED55" s="691">
        <f t="shared" si="20"/>
        <v>10977936408.576</v>
      </c>
      <c r="EE55" s="894">
        <f t="shared" si="14"/>
        <v>0.125</v>
      </c>
      <c r="EF55" s="975">
        <f t="shared" si="11"/>
        <v>1372242051.072</v>
      </c>
      <c r="EG55" s="691">
        <f t="shared" si="13"/>
        <v>6782934576.3680515</v>
      </c>
      <c r="EH55" s="183">
        <f t="shared" si="21"/>
        <v>0</v>
      </c>
      <c r="EI55" s="949">
        <f t="shared" si="10"/>
        <v>2048</v>
      </c>
    </row>
    <row r="56" spans="3:139" ht="18.600000000000001" thickBot="1" x14ac:dyDescent="0.4">
      <c r="C56" s="122"/>
      <c r="D56" s="7"/>
      <c r="E56" s="7"/>
      <c r="F56" s="136"/>
      <c r="G56" s="136" t="s">
        <v>279</v>
      </c>
      <c r="H56" s="7"/>
      <c r="I56" s="451" t="s">
        <v>284</v>
      </c>
      <c r="J56" s="122"/>
      <c r="K56" s="8"/>
      <c r="S56" s="88"/>
      <c r="CX56" s="239"/>
      <c r="CZ56" s="719">
        <f>CZ48-CZ53</f>
        <v>678293457636.80518</v>
      </c>
      <c r="DA56" s="253"/>
      <c r="DB56" s="253"/>
      <c r="DC56" s="253"/>
      <c r="DD56" s="239" t="s">
        <v>892</v>
      </c>
      <c r="DE56" s="615">
        <f>DF58</f>
        <v>52.994250620797992</v>
      </c>
      <c r="DF56" s="569" t="s">
        <v>980</v>
      </c>
      <c r="DG56" s="569"/>
      <c r="DH56" s="181"/>
      <c r="DI56" s="181"/>
      <c r="DJ56" s="252"/>
      <c r="DK56" s="252"/>
      <c r="DL56" s="252"/>
      <c r="DM56" s="252"/>
      <c r="DS56" s="1"/>
      <c r="DY56" s="979">
        <f>SUM(DY22:DY55)</f>
        <v>15.975</v>
      </c>
      <c r="DZ56" s="979">
        <f>SUM(DZ22:DZ55)</f>
        <v>0</v>
      </c>
    </row>
    <row r="57" spans="3:139" ht="16.8" thickTop="1" thickBot="1" x14ac:dyDescent="0.35">
      <c r="C57" s="137" t="s">
        <v>291</v>
      </c>
      <c r="D57" s="138">
        <f>E57/E51</f>
        <v>5.5576698964803502E-2</v>
      </c>
      <c r="E57" s="139">
        <f>E14</f>
        <v>1670161790.6461341</v>
      </c>
      <c r="F57" s="140">
        <v>0.5</v>
      </c>
      <c r="G57" s="139">
        <f>E57*F57</f>
        <v>835080895.32306707</v>
      </c>
      <c r="H57" s="463">
        <v>0.95</v>
      </c>
      <c r="I57" s="139">
        <f>G57*H57</f>
        <v>793326850.55691373</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7" t="s">
        <v>1293</v>
      </c>
      <c r="CZ57" s="1003"/>
      <c r="DA57" s="253"/>
      <c r="DB57" s="877" t="s">
        <v>1293</v>
      </c>
      <c r="DC57" s="252"/>
      <c r="DD57" s="239"/>
      <c r="DE57" s="208">
        <f>DE50</f>
        <v>9.0090226055356588</v>
      </c>
      <c r="DF57" s="80">
        <f>DE57</f>
        <v>9.0090226055356588</v>
      </c>
      <c r="EC57" s="77" t="s">
        <v>966</v>
      </c>
      <c r="ED57" s="77"/>
      <c r="EE57" s="77" t="s">
        <v>965</v>
      </c>
      <c r="EF57" s="77"/>
      <c r="EG57" s="77"/>
    </row>
    <row r="58" spans="3:139"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7" t="s">
        <v>1294</v>
      </c>
      <c r="CZ58" s="996">
        <f>CZ56*DA58</f>
        <v>6782934576.3680515</v>
      </c>
      <c r="DA58" s="923">
        <v>0.01</v>
      </c>
      <c r="DB58" s="924" t="s">
        <v>1443</v>
      </c>
      <c r="DC58" s="925"/>
      <c r="DD58" s="239"/>
      <c r="DE58" s="76"/>
      <c r="DF58" s="1">
        <f>DF57/DF55</f>
        <v>52.994250620797992</v>
      </c>
      <c r="EC58" s="77" t="s">
        <v>785</v>
      </c>
      <c r="ED58" s="77"/>
      <c r="EE58" s="77" t="s">
        <v>962</v>
      </c>
      <c r="EF58" s="77"/>
      <c r="EG58" s="77"/>
    </row>
    <row r="59" spans="3:139"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909"/>
      <c r="BQ59" s="909"/>
      <c r="BR59" s="909"/>
      <c r="BS59" s="909"/>
      <c r="BT59" s="909"/>
      <c r="BU59" s="909"/>
      <c r="BV59" s="909"/>
      <c r="BW59" s="909"/>
      <c r="BX59" s="909"/>
      <c r="BY59" s="909"/>
      <c r="BZ59" s="909"/>
      <c r="CA59" s="909"/>
      <c r="CB59" s="909"/>
      <c r="CC59" s="909"/>
      <c r="CD59" s="909"/>
      <c r="CE59" s="909"/>
      <c r="CF59" s="909"/>
      <c r="CG59" s="909"/>
      <c r="CH59" s="909"/>
      <c r="CI59" s="909"/>
      <c r="CJ59" s="909"/>
      <c r="CK59" s="909"/>
      <c r="CL59" s="909"/>
      <c r="CM59" s="909"/>
      <c r="CN59" s="909"/>
      <c r="CO59" s="909"/>
      <c r="CP59" s="909"/>
      <c r="CQ59" s="909"/>
      <c r="CR59" s="909"/>
      <c r="CS59" s="909"/>
      <c r="CT59" s="909"/>
      <c r="CU59" s="909"/>
      <c r="CV59" s="76"/>
      <c r="CW59" s="410"/>
      <c r="CX59" s="928"/>
      <c r="CY59" s="948" t="s">
        <v>1295</v>
      </c>
      <c r="CZ59" s="911">
        <f>CZ56*DA59</f>
        <v>13565869152.736103</v>
      </c>
      <c r="DA59" s="912">
        <v>0.02</v>
      </c>
      <c r="DB59" s="875" t="s">
        <v>1162</v>
      </c>
      <c r="DC59" s="126"/>
      <c r="DD59" s="239"/>
      <c r="DE59" s="76"/>
      <c r="DJ59" s="32"/>
    </row>
    <row r="60" spans="3:139" ht="16.2" thickBot="1" x14ac:dyDescent="0.35">
      <c r="C60" s="397" t="s">
        <v>276</v>
      </c>
      <c r="D60" s="398">
        <f>100%-D57-D63</f>
        <v>0.78125</v>
      </c>
      <c r="E60" s="399">
        <f>E51*D60</f>
        <v>23477715000.105091</v>
      </c>
      <c r="F60" s="400">
        <v>1</v>
      </c>
      <c r="G60" s="399">
        <f>E60*F60</f>
        <v>23477715000.105091</v>
      </c>
      <c r="H60" s="464">
        <v>0.9</v>
      </c>
      <c r="I60" s="399">
        <f>G60*H60</f>
        <v>21129943500.094582</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8" t="s">
        <v>1296</v>
      </c>
      <c r="CZ60" s="911">
        <f>CZ56*DA60</f>
        <v>27131738305.472206</v>
      </c>
      <c r="DA60" s="912">
        <v>0.04</v>
      </c>
      <c r="DB60" s="875" t="s">
        <v>1441</v>
      </c>
      <c r="DC60" s="126"/>
      <c r="DD60" s="239"/>
      <c r="DE60" s="691">
        <f>DE32+DE47</f>
        <v>484508644075.90582</v>
      </c>
      <c r="DF60" s="1" t="s">
        <v>958</v>
      </c>
      <c r="DS60" s="1"/>
      <c r="DW60" s="1"/>
      <c r="EH60" s="1"/>
      <c r="EI60" s="1"/>
    </row>
    <row r="61" spans="3:139"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10"/>
      <c r="CX61" s="927"/>
      <c r="CY61" s="948" t="s">
        <v>1297</v>
      </c>
      <c r="CZ61" s="911">
        <f>CZ56*DA61</f>
        <v>40697607458.208305</v>
      </c>
      <c r="DA61" s="912">
        <v>0.06</v>
      </c>
      <c r="DB61" s="875" t="s">
        <v>1303</v>
      </c>
      <c r="DC61" s="126"/>
      <c r="DD61" s="253"/>
      <c r="DE61" s="647">
        <f>DE60/DE47</f>
        <v>73.07218084428527</v>
      </c>
    </row>
    <row r="62" spans="3:139"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8" t="s">
        <v>1300</v>
      </c>
      <c r="CZ62" s="911">
        <f>CZ56*DA62</f>
        <v>61046411187.312462</v>
      </c>
      <c r="DA62" s="912">
        <v>0.09</v>
      </c>
      <c r="DB62" s="410" t="s">
        <v>1442</v>
      </c>
      <c r="DC62" s="126"/>
      <c r="DD62" s="253"/>
    </row>
    <row r="63" spans="3:139" ht="16.2" thickBot="1" x14ac:dyDescent="0.35">
      <c r="C63" s="149" t="s">
        <v>737</v>
      </c>
      <c r="D63" s="150">
        <f>E63/E51</f>
        <v>0.16317330103519651</v>
      </c>
      <c r="E63" s="151">
        <f>E21</f>
        <v>4903598409.3832922</v>
      </c>
      <c r="F63" s="152">
        <v>0.3</v>
      </c>
      <c r="G63" s="151">
        <f>E63*F63</f>
        <v>1471079522.8149877</v>
      </c>
      <c r="H63" s="465">
        <v>0.9</v>
      </c>
      <c r="I63" s="151">
        <f>G63*H63</f>
        <v>1323971570.533489</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26"/>
      <c r="CV63" s="410"/>
      <c r="CW63" s="410"/>
      <c r="CX63" s="927"/>
      <c r="CY63" s="948" t="s">
        <v>1305</v>
      </c>
      <c r="CZ63" s="911">
        <f>CZ56*DA63</f>
        <v>27131738305.472206</v>
      </c>
      <c r="DA63" s="912">
        <v>0.04</v>
      </c>
      <c r="DB63" s="410" t="s">
        <v>148</v>
      </c>
      <c r="DC63" s="126"/>
      <c r="DD63" s="253"/>
    </row>
    <row r="64" spans="3:139"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64"/>
      <c r="CW64" s="106"/>
      <c r="CX64" s="929"/>
      <c r="CY64" s="938"/>
      <c r="CZ64" s="1004"/>
      <c r="DA64" s="1005"/>
      <c r="DB64" s="1005"/>
      <c r="DC64" s="903"/>
      <c r="DD64" s="253"/>
    </row>
    <row r="65" spans="3:139" ht="16.2" thickBot="1" x14ac:dyDescent="0.35">
      <c r="C65" s="141"/>
      <c r="D65" s="429"/>
      <c r="E65" s="371"/>
      <c r="F65" s="430">
        <v>0.25</v>
      </c>
      <c r="G65" s="432">
        <f>E63*F65</f>
        <v>1225899602.345823</v>
      </c>
      <c r="H65" s="466">
        <v>0.95</v>
      </c>
      <c r="I65" s="432">
        <f>G65*H65</f>
        <v>1164604622.2285318</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64"/>
      <c r="CW65" s="106"/>
      <c r="CX65" s="927"/>
      <c r="CY65" s="939" t="s">
        <v>1299</v>
      </c>
      <c r="CZ65" s="1006">
        <f>CZ53</f>
        <v>43980465111.040001</v>
      </c>
      <c r="DA65" s="935">
        <f>CZ65/CZ56</f>
        <v>6.4839878102715701E-2</v>
      </c>
      <c r="DB65" s="898" t="s">
        <v>1311</v>
      </c>
      <c r="DC65" s="905"/>
      <c r="DD65" s="253"/>
    </row>
    <row r="66" spans="3:139"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64"/>
      <c r="CW66" s="106"/>
      <c r="CX66" s="106"/>
      <c r="CY66" s="940" t="s">
        <v>1325</v>
      </c>
      <c r="CZ66" s="930">
        <f>CZ56*DA66</f>
        <v>6782934576.3680515</v>
      </c>
      <c r="DA66" s="931">
        <v>0.01</v>
      </c>
      <c r="DB66" s="898" t="s">
        <v>1315</v>
      </c>
      <c r="DC66" s="905"/>
      <c r="DD66" s="946">
        <v>272</v>
      </c>
      <c r="DE66" s="181" t="s">
        <v>1314</v>
      </c>
    </row>
    <row r="67" spans="3:139" ht="16.2" thickBot="1" x14ac:dyDescent="0.35">
      <c r="C67" s="122"/>
      <c r="D67" s="7"/>
      <c r="E67" s="7"/>
      <c r="F67" s="153">
        <v>0.2</v>
      </c>
      <c r="G67" s="99">
        <f>E63*F67</f>
        <v>980719681.87665844</v>
      </c>
      <c r="H67" s="467">
        <v>0.9</v>
      </c>
      <c r="I67" s="99">
        <f>G67*H67</f>
        <v>882647713.68899262</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64"/>
      <c r="CW67" s="106"/>
      <c r="CX67" s="106"/>
      <c r="CY67" s="940" t="s">
        <v>1307</v>
      </c>
      <c r="CZ67" s="930">
        <f>CZ56*DA67</f>
        <v>33914672881.84026</v>
      </c>
      <c r="DA67" s="931">
        <v>0.05</v>
      </c>
      <c r="DB67" s="898" t="s">
        <v>1323</v>
      </c>
      <c r="DC67" s="905"/>
      <c r="DD67" s="945">
        <v>100</v>
      </c>
      <c r="DE67" s="938">
        <f>DD66*DD67</f>
        <v>27200</v>
      </c>
      <c r="DF67" s="1" t="s">
        <v>1316</v>
      </c>
    </row>
    <row r="68" spans="3:139"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64"/>
      <c r="CW68" s="106"/>
      <c r="CX68" s="251"/>
      <c r="CY68" s="940" t="s">
        <v>1308</v>
      </c>
      <c r="CZ68" s="930">
        <f>CZ56*DA68</f>
        <v>20348803729.104153</v>
      </c>
      <c r="DA68" s="931">
        <v>0.03</v>
      </c>
      <c r="DB68" s="898" t="s">
        <v>1438</v>
      </c>
      <c r="DC68" s="905"/>
      <c r="DD68" s="600"/>
      <c r="DE68" s="1">
        <v>1000</v>
      </c>
      <c r="DF68" s="1" t="s">
        <v>226</v>
      </c>
    </row>
    <row r="69" spans="3:139" ht="16.2" thickBot="1" x14ac:dyDescent="0.35">
      <c r="C69" s="122"/>
      <c r="D69" s="7"/>
      <c r="E69" s="7"/>
      <c r="F69" s="438">
        <v>0.2</v>
      </c>
      <c r="G69" s="446">
        <f>E63*F69</f>
        <v>980719681.87665844</v>
      </c>
      <c r="H69" s="447">
        <v>0.25</v>
      </c>
      <c r="I69" s="446">
        <f>G69*H69</f>
        <v>245179920.46916461</v>
      </c>
      <c r="J69" s="447">
        <v>0</v>
      </c>
      <c r="K69" s="439">
        <f>I69*J69</f>
        <v>0</v>
      </c>
      <c r="Q69" s="240" t="s">
        <v>952</v>
      </c>
      <c r="S69" s="88"/>
      <c r="W69" s="691">
        <f>DC47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8"/>
      <c r="CW69" s="88"/>
      <c r="CX69" s="88"/>
      <c r="CY69" s="940" t="s">
        <v>1317</v>
      </c>
      <c r="CZ69" s="930">
        <f>CZ56*DA69</f>
        <v>20348803729.104153</v>
      </c>
      <c r="DA69" s="931">
        <v>0.03</v>
      </c>
      <c r="DB69" s="898" t="s">
        <v>1356</v>
      </c>
      <c r="DC69" s="905"/>
      <c r="DD69" s="601"/>
      <c r="DE69" s="1">
        <f>DE67*DE68</f>
        <v>27200000</v>
      </c>
      <c r="DF69" s="1" t="s">
        <v>1320</v>
      </c>
    </row>
    <row r="70" spans="3:139" x14ac:dyDescent="0.3">
      <c r="C70" s="122"/>
      <c r="D70" s="7"/>
      <c r="E70" s="7"/>
      <c r="F70" s="142"/>
      <c r="G70" s="371"/>
      <c r="H70" s="142"/>
      <c r="I70" s="434"/>
      <c r="J70" s="142"/>
      <c r="K70" s="434"/>
      <c r="L70" s="240" t="s">
        <v>1367</v>
      </c>
      <c r="O70" s="240" t="s">
        <v>803</v>
      </c>
      <c r="Q70" s="951">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8"/>
      <c r="CW70" s="88"/>
      <c r="CX70" s="88"/>
      <c r="CY70" s="940" t="s">
        <v>1318</v>
      </c>
      <c r="CZ70" s="930">
        <f>CZ56*DA70</f>
        <v>20348803729.104153</v>
      </c>
      <c r="DA70" s="931">
        <v>0.03</v>
      </c>
      <c r="DB70" s="898" t="s">
        <v>1357</v>
      </c>
      <c r="DC70" s="905"/>
      <c r="DD70" s="600"/>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55">
        <f>DA53</f>
        <v>2048</v>
      </c>
      <c r="U71" s="77" t="s">
        <v>804</v>
      </c>
      <c r="V71" s="947"/>
      <c r="W71" s="319">
        <v>0.3</v>
      </c>
      <c r="Y71" s="76" t="s">
        <v>893</v>
      </c>
      <c r="Z71" s="76"/>
      <c r="AA71" s="77" t="s">
        <v>1332</v>
      </c>
      <c r="AB71" s="88"/>
      <c r="AE71" s="958"/>
      <c r="AF71" s="644" t="s">
        <v>986</v>
      </c>
      <c r="AG71" s="958"/>
      <c r="CT71" s="88"/>
      <c r="CU71" s="88"/>
      <c r="CV71" s="958"/>
      <c r="CW71" s="88"/>
      <c r="CX71" s="88"/>
      <c r="CY71" s="940" t="s">
        <v>1319</v>
      </c>
      <c r="CZ71" s="930">
        <f>CZ56*DA71</f>
        <v>20348803729.104153</v>
      </c>
      <c r="DA71" s="931">
        <v>0.03</v>
      </c>
      <c r="DB71" s="898" t="s">
        <v>1358</v>
      </c>
      <c r="DC71" s="905"/>
      <c r="DD71" s="936"/>
    </row>
    <row r="72" spans="3:139" x14ac:dyDescent="0.3">
      <c r="C72" s="158"/>
      <c r="D72" s="10"/>
      <c r="E72" s="10"/>
      <c r="F72" s="10"/>
      <c r="G72" s="159">
        <f>SUM(G53:G71)</f>
        <v>29806295279.665352</v>
      </c>
      <c r="H72" s="160"/>
      <c r="I72" s="172">
        <f>SUM(I53:I71)</f>
        <v>26124230804.297821</v>
      </c>
      <c r="J72" s="158"/>
      <c r="K72" s="481">
        <f>SUM(K53:K71)</f>
        <v>0</v>
      </c>
      <c r="L72" s="482">
        <f>CZ34</f>
        <v>24.034557968875092</v>
      </c>
      <c r="M72" s="480">
        <f>K72*L72</f>
        <v>0</v>
      </c>
      <c r="N72" s="239"/>
      <c r="O72" s="950">
        <f>DA53</f>
        <v>2048</v>
      </c>
      <c r="P72" s="239"/>
      <c r="Q72" s="480">
        <f>M72*O72</f>
        <v>0</v>
      </c>
      <c r="R72" s="239"/>
      <c r="S72" s="956">
        <f>M72*S71</f>
        <v>0</v>
      </c>
      <c r="T72" s="239"/>
      <c r="U72" s="910">
        <f>Q72+S72</f>
        <v>0</v>
      </c>
      <c r="V72" s="949" t="s">
        <v>1330</v>
      </c>
      <c r="W72" s="910">
        <f>W69*W71</f>
        <v>1989164570.4746923</v>
      </c>
      <c r="X72" s="949" t="s">
        <v>1330</v>
      </c>
      <c r="Y72" s="910">
        <f>CZ59+CZ60+CZ61+CZ62+CZ63</f>
        <v>169573364409.20129</v>
      </c>
      <c r="Z72" s="949" t="s">
        <v>1331</v>
      </c>
      <c r="AA72" s="910">
        <f>U72+W72+Y72</f>
        <v>171562528979.67599</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958"/>
      <c r="BP72" s="958"/>
      <c r="BQ72" s="958"/>
      <c r="BR72" s="958"/>
      <c r="BS72" s="958"/>
      <c r="BT72" s="958"/>
      <c r="BU72" s="958"/>
      <c r="BV72" s="958"/>
      <c r="BW72" s="958"/>
      <c r="BX72" s="958"/>
      <c r="BY72" s="958"/>
      <c r="BZ72" s="958"/>
      <c r="CA72" s="958"/>
      <c r="CB72" s="958"/>
      <c r="CC72" s="958"/>
      <c r="CD72" s="958"/>
      <c r="CE72" s="958"/>
      <c r="CF72" s="958"/>
      <c r="CG72" s="958"/>
      <c r="CH72" s="958"/>
      <c r="CI72" s="958"/>
      <c r="CJ72" s="958"/>
      <c r="CK72" s="958"/>
      <c r="CL72" s="958"/>
      <c r="CM72" s="958"/>
      <c r="CN72" s="958"/>
      <c r="CO72" s="958"/>
      <c r="CP72" s="958"/>
      <c r="CQ72" s="958"/>
      <c r="CR72" s="958"/>
      <c r="CS72" s="958"/>
      <c r="CT72" s="958"/>
      <c r="CU72" s="181"/>
      <c r="CV72" s="958"/>
      <c r="CW72" s="88"/>
      <c r="CX72" s="88"/>
      <c r="CY72" s="940" t="s">
        <v>1312</v>
      </c>
      <c r="CZ72" s="930">
        <f>CZ56*DA72</f>
        <v>20348803729.104153</v>
      </c>
      <c r="DA72" s="931">
        <v>0.03</v>
      </c>
      <c r="DB72" s="898" t="s">
        <v>1359</v>
      </c>
      <c r="DC72" s="905"/>
      <c r="DD72" s="812"/>
    </row>
    <row r="73" spans="3:139"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CU73" s="88"/>
      <c r="CV73" s="88"/>
      <c r="CW73" s="88"/>
      <c r="CX73" s="88"/>
      <c r="CY73" s="940" t="s">
        <v>1313</v>
      </c>
      <c r="CZ73" s="930">
        <f>CZ56*DA73</f>
        <v>33914672881.84026</v>
      </c>
      <c r="DA73" s="931">
        <v>0.05</v>
      </c>
      <c r="DB73" s="898" t="s">
        <v>1361</v>
      </c>
      <c r="DC73" s="905"/>
      <c r="DD73" s="255"/>
    </row>
    <row r="74" spans="3:139"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CU74" s="88"/>
      <c r="CV74" s="252"/>
      <c r="CW74" s="252"/>
      <c r="CX74" s="252"/>
      <c r="CY74" s="940" t="s">
        <v>1324</v>
      </c>
      <c r="CZ74" s="930">
        <f>CZ56*DA74</f>
        <v>67829345763.680519</v>
      </c>
      <c r="DA74" s="931">
        <v>0.1</v>
      </c>
      <c r="DB74" s="898" t="s">
        <v>1439</v>
      </c>
      <c r="DC74" s="905"/>
      <c r="DD74" s="255"/>
    </row>
    <row r="75" spans="3:139"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CU75" s="88"/>
      <c r="CV75" s="252"/>
      <c r="CW75" s="88"/>
      <c r="CX75" s="88"/>
      <c r="CY75" s="940" t="s">
        <v>1306</v>
      </c>
      <c r="CZ75" s="930">
        <f>CZ56*DA75</f>
        <v>13565869152.736103</v>
      </c>
      <c r="DA75" s="931">
        <v>0.02</v>
      </c>
      <c r="DB75" s="899" t="s">
        <v>1360</v>
      </c>
      <c r="DC75" s="932"/>
      <c r="DD75" s="255"/>
    </row>
    <row r="76" spans="3:139" x14ac:dyDescent="0.3">
      <c r="R76" s="88"/>
      <c r="S76" s="252"/>
      <c r="T76" s="88"/>
      <c r="U76" s="88"/>
      <c r="V76" s="88"/>
      <c r="W76" s="88"/>
      <c r="X76" s="88"/>
      <c r="Y76" s="88"/>
      <c r="Z76" s="361" t="s">
        <v>1347</v>
      </c>
      <c r="AA76" s="736">
        <f>AA72</f>
        <v>171562528979.67599</v>
      </c>
      <c r="AB76" s="88"/>
      <c r="AD76" s="960">
        <f t="shared" si="30"/>
        <v>2018</v>
      </c>
      <c r="AE76" s="691">
        <f t="shared" si="31"/>
        <v>5717501250</v>
      </c>
      <c r="AF76" s="963">
        <f t="shared" si="28"/>
        <v>2.5000000000000001E-2</v>
      </c>
      <c r="AG76" s="691">
        <f t="shared" si="29"/>
        <v>142937531.25</v>
      </c>
      <c r="CU76" s="88"/>
      <c r="CV76" s="252"/>
      <c r="CW76" s="88"/>
      <c r="CX76" s="88"/>
      <c r="CY76" s="941" t="s">
        <v>1309</v>
      </c>
      <c r="CZ76" s="930">
        <f>CZ56*DA76</f>
        <v>13565869152.736103</v>
      </c>
      <c r="DA76" s="931">
        <v>0.02</v>
      </c>
      <c r="DB76" s="899" t="s">
        <v>1440</v>
      </c>
      <c r="DC76" s="932"/>
      <c r="DD76" s="255"/>
    </row>
    <row r="77" spans="3:139"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CU77" s="88"/>
      <c r="CV77" s="88"/>
      <c r="CW77" s="88"/>
      <c r="CX77" s="88"/>
      <c r="CY77" s="940" t="s">
        <v>1310</v>
      </c>
      <c r="CZ77" s="904">
        <f>CZ56*DA77</f>
        <v>33914672881.84026</v>
      </c>
      <c r="DA77" s="1065">
        <v>0.05</v>
      </c>
      <c r="DB77" s="898" t="s">
        <v>1362</v>
      </c>
      <c r="DC77" s="905"/>
      <c r="DD77" s="255"/>
    </row>
    <row r="78" spans="3:139" x14ac:dyDescent="0.3">
      <c r="R78" s="88"/>
      <c r="S78" s="252"/>
      <c r="T78" s="88"/>
      <c r="U78" s="88"/>
      <c r="V78" s="88"/>
      <c r="W78" s="88"/>
      <c r="X78" s="88"/>
      <c r="Y78" s="88"/>
      <c r="Z78" s="555" t="s">
        <v>1333</v>
      </c>
      <c r="AA78" s="957">
        <f>AA72/W72</f>
        <v>86.248534448175135</v>
      </c>
      <c r="AB78" s="252"/>
      <c r="AD78" s="960">
        <f t="shared" ref="AD78:AD106" si="32">AD77+1</f>
        <v>2020</v>
      </c>
      <c r="AE78" s="691">
        <f t="shared" si="31"/>
        <v>6006949750.78125</v>
      </c>
      <c r="AF78" s="963">
        <f t="shared" si="28"/>
        <v>2.5000000000000001E-2</v>
      </c>
      <c r="AG78" s="691">
        <f t="shared" si="29"/>
        <v>150173743.76953125</v>
      </c>
      <c r="CU78" s="88"/>
      <c r="CV78" s="88"/>
      <c r="CW78" s="88"/>
      <c r="CX78" s="88"/>
      <c r="CY78" s="940" t="s">
        <v>1452</v>
      </c>
      <c r="CZ78" s="904">
        <f>CZ56*DA78</f>
        <v>33914672881.84026</v>
      </c>
      <c r="DA78" s="1065">
        <v>0.05</v>
      </c>
      <c r="DB78" s="898" t="s">
        <v>1450</v>
      </c>
      <c r="DC78" s="905"/>
      <c r="DD78" s="255"/>
    </row>
    <row r="79" spans="3:139"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CU79" s="88"/>
      <c r="CV79" s="88"/>
      <c r="CW79" s="88"/>
      <c r="CX79" s="88"/>
      <c r="CY79" s="940" t="s">
        <v>1454</v>
      </c>
      <c r="CZ79" s="904">
        <f>CZ56*DA79</f>
        <v>33914672881.84026</v>
      </c>
      <c r="DA79" s="1065">
        <v>0.05</v>
      </c>
      <c r="DB79" s="898" t="s">
        <v>1455</v>
      </c>
      <c r="DC79" s="905"/>
      <c r="DD79" s="255"/>
    </row>
    <row r="80" spans="3:139"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CU80" s="88"/>
      <c r="CV80" s="88"/>
      <c r="CW80" s="88"/>
      <c r="CX80" s="88"/>
      <c r="CY80" s="940" t="s">
        <v>1326</v>
      </c>
      <c r="CZ80" s="904">
        <f>CZ56*DA80</f>
        <v>27131738305.472206</v>
      </c>
      <c r="DA80" s="1065">
        <v>0.04</v>
      </c>
      <c r="DB80" s="898" t="s">
        <v>1348</v>
      </c>
      <c r="DC80" s="905"/>
      <c r="DD80" s="251"/>
    </row>
    <row r="81" spans="18:109"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CU81" s="88"/>
      <c r="CV81" s="88"/>
      <c r="CW81" s="88"/>
      <c r="CX81" s="88"/>
      <c r="CY81" s="940" t="s">
        <v>1298</v>
      </c>
      <c r="CZ81" s="930">
        <f>CZ56*DA81</f>
        <v>27131738305.472206</v>
      </c>
      <c r="DA81" s="931">
        <v>0.04</v>
      </c>
      <c r="DB81" s="898" t="s">
        <v>1363</v>
      </c>
      <c r="DC81" s="905"/>
      <c r="DD81" s="251"/>
    </row>
    <row r="82" spans="18:109"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CU82" s="88"/>
      <c r="CV82" s="88"/>
      <c r="CW82" s="88"/>
      <c r="CX82" s="88"/>
      <c r="CY82" s="942"/>
      <c r="CZ82" s="1067"/>
      <c r="DA82" s="1068">
        <f>SUM(DA58:DA81)</f>
        <v>0.95483987810271609</v>
      </c>
      <c r="DB82" s="1069"/>
      <c r="DC82" s="1070"/>
      <c r="DD82" s="251"/>
    </row>
    <row r="83" spans="18:109"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CU83" s="88"/>
      <c r="CV83" s="88"/>
      <c r="CW83" s="88"/>
      <c r="CX83" s="88"/>
      <c r="CY83" s="941" t="s">
        <v>1321</v>
      </c>
      <c r="CZ83" s="904">
        <f>CZ56*DA83</f>
        <v>30631815229.008301</v>
      </c>
      <c r="DA83" s="1065">
        <f>100%-DA82</f>
        <v>4.5160121897283911E-2</v>
      </c>
      <c r="DB83" s="898" t="s">
        <v>148</v>
      </c>
      <c r="DC83" s="905"/>
      <c r="DD83" s="251"/>
    </row>
    <row r="84" spans="18:109"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CU84" s="88"/>
      <c r="CV84" s="88"/>
      <c r="CW84" s="88"/>
      <c r="CX84" s="88"/>
      <c r="CY84" s="943" t="s">
        <v>1322</v>
      </c>
      <c r="CZ84" s="1071">
        <f>SUM(CZ58:CZ83)</f>
        <v>678293457636.80469</v>
      </c>
      <c r="DA84" s="1072">
        <f>DA82+DA83</f>
        <v>1</v>
      </c>
      <c r="DB84" s="1073" t="s">
        <v>59</v>
      </c>
      <c r="DC84" s="1074"/>
      <c r="DD84" s="251"/>
    </row>
    <row r="85" spans="18:109" x14ac:dyDescent="0.3">
      <c r="R85" s="88"/>
      <c r="S85" s="88"/>
      <c r="T85" s="88"/>
      <c r="U85" s="88"/>
      <c r="V85" s="88"/>
      <c r="AD85" s="960">
        <f t="shared" si="32"/>
        <v>2027</v>
      </c>
      <c r="AE85" s="691">
        <f t="shared" si="31"/>
        <v>7140375591.7544937</v>
      </c>
      <c r="AF85" s="963">
        <f t="shared" si="28"/>
        <v>2.5000000000000001E-2</v>
      </c>
      <c r="AG85" s="691">
        <f t="shared" si="29"/>
        <v>178509389.79386234</v>
      </c>
      <c r="CU85" s="88"/>
      <c r="CV85" s="88"/>
      <c r="CW85" s="88"/>
      <c r="CX85" s="88"/>
      <c r="CY85" s="943" t="s">
        <v>1329</v>
      </c>
      <c r="CZ85" s="179">
        <f>CZ59+CZ60+CZ61+CZ62+CZ63</f>
        <v>169573364409.20129</v>
      </c>
      <c r="DA85" s="160"/>
      <c r="DB85" s="160" t="s">
        <v>1364</v>
      </c>
      <c r="DC85" s="303"/>
      <c r="DD85" s="251"/>
    </row>
    <row r="86" spans="18:109" x14ac:dyDescent="0.3">
      <c r="AD86" s="960">
        <f t="shared" si="32"/>
        <v>2028</v>
      </c>
      <c r="AE86" s="691">
        <f t="shared" si="31"/>
        <v>7318884981.5483561</v>
      </c>
      <c r="AF86" s="963">
        <f t="shared" si="28"/>
        <v>2.5000000000000001E-2</v>
      </c>
      <c r="AG86" s="691">
        <f t="shared" si="29"/>
        <v>182972124.53870893</v>
      </c>
      <c r="CU86" s="88"/>
      <c r="CV86" s="88"/>
      <c r="CW86" s="88"/>
      <c r="CX86" s="88"/>
      <c r="CY86" s="364"/>
      <c r="CZ86" s="1075"/>
      <c r="DA86" s="1076"/>
      <c r="DB86" s="1076"/>
      <c r="DC86" s="1077"/>
      <c r="DD86" s="251"/>
    </row>
    <row r="87" spans="18:109" x14ac:dyDescent="0.3">
      <c r="AD87" s="960">
        <f t="shared" si="32"/>
        <v>2029</v>
      </c>
      <c r="AE87" s="691">
        <f t="shared" si="31"/>
        <v>7501857106.0870647</v>
      </c>
      <c r="AF87" s="963">
        <f t="shared" si="28"/>
        <v>2.5000000000000001E-2</v>
      </c>
      <c r="AG87" s="691">
        <f t="shared" si="29"/>
        <v>187546427.65217662</v>
      </c>
      <c r="CU87" s="88"/>
      <c r="CV87" s="88"/>
      <c r="CW87" s="88"/>
      <c r="CX87" s="88"/>
      <c r="CY87" s="1007" t="s">
        <v>1336</v>
      </c>
      <c r="CZ87" s="1066">
        <f>AA72</f>
        <v>171562528979.67599</v>
      </c>
      <c r="DA87" s="251" t="s">
        <v>1335</v>
      </c>
      <c r="DB87" s="251"/>
      <c r="DC87" s="251"/>
      <c r="DD87" s="251"/>
    </row>
    <row r="88" spans="18:109" x14ac:dyDescent="0.3">
      <c r="AD88" s="960">
        <f t="shared" si="32"/>
        <v>2030</v>
      </c>
      <c r="AE88" s="691">
        <f t="shared" si="31"/>
        <v>7689403533.7392416</v>
      </c>
      <c r="AF88" s="963">
        <f t="shared" si="28"/>
        <v>2.5000000000000001E-2</v>
      </c>
      <c r="AG88" s="691">
        <f t="shared" si="29"/>
        <v>192235088.34348106</v>
      </c>
      <c r="CU88" s="88"/>
      <c r="CV88" s="88"/>
      <c r="CW88" s="88"/>
      <c r="CX88" s="88"/>
      <c r="CY88" s="1008" t="s">
        <v>1337</v>
      </c>
      <c r="CZ88" s="1009">
        <f>W72</f>
        <v>1989164570.4746923</v>
      </c>
      <c r="DA88" s="898" t="s">
        <v>1338</v>
      </c>
      <c r="DB88" s="898"/>
      <c r="DC88" s="251"/>
      <c r="DD88" s="251"/>
    </row>
    <row r="89" spans="18:109" x14ac:dyDescent="0.3">
      <c r="AD89" s="960">
        <f t="shared" si="32"/>
        <v>2031</v>
      </c>
      <c r="AE89" s="691">
        <f t="shared" si="31"/>
        <v>7881638622.0827227</v>
      </c>
      <c r="AF89" s="963">
        <f t="shared" si="28"/>
        <v>2.5000000000000001E-2</v>
      </c>
      <c r="AG89" s="691">
        <f t="shared" si="29"/>
        <v>197040965.55206808</v>
      </c>
      <c r="CU89" s="88"/>
      <c r="CV89" s="88"/>
      <c r="CW89" s="88"/>
      <c r="CX89" s="88"/>
      <c r="CY89" s="106"/>
      <c r="CZ89" s="745"/>
      <c r="DA89" s="251"/>
      <c r="DB89" s="251"/>
      <c r="DC89" s="251"/>
      <c r="DD89" s="251"/>
      <c r="DE89" s="252"/>
    </row>
    <row r="90" spans="18:109" x14ac:dyDescent="0.3">
      <c r="AD90" s="960">
        <f t="shared" si="32"/>
        <v>2032</v>
      </c>
      <c r="AE90" s="691">
        <f t="shared" si="31"/>
        <v>8078679587.6347904</v>
      </c>
      <c r="AF90" s="963">
        <f t="shared" si="28"/>
        <v>2.5000000000000001E-2</v>
      </c>
      <c r="AG90" s="691">
        <f t="shared" si="29"/>
        <v>201966989.69086978</v>
      </c>
      <c r="CU90" s="88"/>
      <c r="CV90" s="88"/>
      <c r="CW90" s="88"/>
      <c r="CX90" s="88"/>
      <c r="CZ90" s="999" t="s">
        <v>1355</v>
      </c>
      <c r="DA90" s="252"/>
      <c r="DB90" s="252"/>
      <c r="DC90" s="252"/>
      <c r="DD90" s="252"/>
      <c r="DE90" s="252"/>
    </row>
    <row r="91" spans="18:109" x14ac:dyDescent="0.3">
      <c r="AD91" s="960">
        <f t="shared" si="32"/>
        <v>2033</v>
      </c>
      <c r="AE91" s="691">
        <f t="shared" si="31"/>
        <v>8280646577.3256598</v>
      </c>
      <c r="AF91" s="963">
        <f t="shared" si="28"/>
        <v>2.5000000000000001E-2</v>
      </c>
      <c r="AG91" s="691">
        <f t="shared" si="29"/>
        <v>207016164.4331415</v>
      </c>
      <c r="CU91" s="88"/>
      <c r="CV91" s="88"/>
      <c r="CW91" s="88"/>
      <c r="CX91" s="88"/>
      <c r="DA91" s="252"/>
      <c r="DB91" s="252"/>
      <c r="DC91" s="252"/>
      <c r="DD91" s="252"/>
      <c r="DE91" s="252"/>
    </row>
    <row r="92" spans="18:109" x14ac:dyDescent="0.3">
      <c r="AD92" s="960">
        <f t="shared" si="32"/>
        <v>2034</v>
      </c>
      <c r="AE92" s="691">
        <f t="shared" si="31"/>
        <v>8487662741.7588015</v>
      </c>
      <c r="AF92" s="963">
        <f t="shared" si="28"/>
        <v>2.5000000000000001E-2</v>
      </c>
      <c r="AG92" s="691">
        <f t="shared" si="29"/>
        <v>212191568.54397005</v>
      </c>
      <c r="CU92" s="88"/>
      <c r="CV92" s="88"/>
      <c r="CW92" s="88"/>
      <c r="CX92" s="252"/>
      <c r="DA92" s="252"/>
      <c r="DB92" s="252"/>
      <c r="DC92" s="252"/>
      <c r="DD92" s="252"/>
      <c r="DE92" s="252"/>
    </row>
    <row r="93" spans="18:109" x14ac:dyDescent="0.3">
      <c r="AD93" s="960">
        <f t="shared" si="32"/>
        <v>2035</v>
      </c>
      <c r="AE93" s="691">
        <f t="shared" si="31"/>
        <v>8699854310.3027706</v>
      </c>
      <c r="AF93" s="963">
        <f t="shared" si="28"/>
        <v>2.5000000000000001E-2</v>
      </c>
      <c r="AG93" s="691">
        <f t="shared" si="29"/>
        <v>217496357.75756928</v>
      </c>
      <c r="DA93" s="252"/>
      <c r="DB93" s="252"/>
      <c r="DC93" s="252"/>
      <c r="DD93" s="252"/>
      <c r="DE93" s="252"/>
    </row>
    <row r="94" spans="18:109" x14ac:dyDescent="0.3">
      <c r="AD94" s="960">
        <f t="shared" si="32"/>
        <v>2036</v>
      </c>
      <c r="AE94" s="691">
        <f t="shared" si="31"/>
        <v>8917350668.060339</v>
      </c>
      <c r="AF94" s="963">
        <f t="shared" si="28"/>
        <v>2.5000000000000001E-2</v>
      </c>
      <c r="AG94" s="691">
        <f t="shared" si="29"/>
        <v>222933766.70150849</v>
      </c>
      <c r="DA94" s="252"/>
      <c r="DB94" s="252"/>
      <c r="DC94" s="252"/>
      <c r="DD94" s="252"/>
      <c r="DE94" s="252"/>
    </row>
    <row r="95" spans="18:109" x14ac:dyDescent="0.3">
      <c r="AD95" s="960">
        <f t="shared" si="32"/>
        <v>2037</v>
      </c>
      <c r="AE95" s="691">
        <f t="shared" si="31"/>
        <v>9140284434.7618465</v>
      </c>
      <c r="AF95" s="963">
        <f t="shared" si="28"/>
        <v>2.5000000000000001E-2</v>
      </c>
      <c r="AG95" s="691">
        <f t="shared" si="29"/>
        <v>228507110.86904618</v>
      </c>
      <c r="DA95" s="252"/>
      <c r="DB95" s="252"/>
      <c r="DC95" s="252"/>
      <c r="DD95" s="252"/>
      <c r="DE95" s="252"/>
    </row>
    <row r="96" spans="18:109" x14ac:dyDescent="0.3">
      <c r="AD96" s="960">
        <f t="shared" si="32"/>
        <v>2038</v>
      </c>
      <c r="AE96" s="691">
        <f t="shared" si="31"/>
        <v>9368791545.6308918</v>
      </c>
      <c r="AF96" s="963">
        <f t="shared" si="28"/>
        <v>2.5000000000000001E-2</v>
      </c>
      <c r="AG96" s="691">
        <f t="shared" si="29"/>
        <v>234219788.64077231</v>
      </c>
      <c r="DA96" s="252"/>
      <c r="DB96" s="252"/>
      <c r="DC96" s="252"/>
      <c r="DD96" s="252"/>
      <c r="DE96" s="252"/>
    </row>
    <row r="97" spans="30:109" x14ac:dyDescent="0.3">
      <c r="AD97" s="960">
        <f t="shared" si="32"/>
        <v>2039</v>
      </c>
      <c r="AE97" s="691">
        <f t="shared" si="31"/>
        <v>9603011334.2716637</v>
      </c>
      <c r="AF97" s="963">
        <f t="shared" si="28"/>
        <v>2.5000000000000001E-2</v>
      </c>
      <c r="AG97" s="691">
        <f t="shared" si="29"/>
        <v>240075283.35679162</v>
      </c>
      <c r="DA97" s="252"/>
      <c r="DB97" s="252"/>
      <c r="DC97" s="252"/>
      <c r="DD97" s="252"/>
      <c r="DE97" s="252"/>
    </row>
    <row r="98" spans="30:109" x14ac:dyDescent="0.3">
      <c r="AD98" s="960">
        <f t="shared" si="32"/>
        <v>2040</v>
      </c>
      <c r="AE98" s="691">
        <f t="shared" si="31"/>
        <v>9843086617.6284561</v>
      </c>
      <c r="AF98" s="963">
        <f t="shared" si="28"/>
        <v>2.5000000000000001E-2</v>
      </c>
      <c r="AG98" s="691">
        <f t="shared" si="29"/>
        <v>246077165.44071141</v>
      </c>
    </row>
    <row r="99" spans="30:109" x14ac:dyDescent="0.3">
      <c r="AD99" s="960">
        <f t="shared" si="32"/>
        <v>2041</v>
      </c>
      <c r="AE99" s="691">
        <f t="shared" si="31"/>
        <v>10089163783.069168</v>
      </c>
      <c r="AF99" s="963">
        <f t="shared" si="28"/>
        <v>2.5000000000000001E-2</v>
      </c>
      <c r="AG99" s="691">
        <f t="shared" si="29"/>
        <v>252229094.57672921</v>
      </c>
    </row>
    <row r="100" spans="30:109" x14ac:dyDescent="0.3">
      <c r="AD100" s="960">
        <f t="shared" si="32"/>
        <v>2042</v>
      </c>
      <c r="AE100" s="691">
        <f t="shared" si="31"/>
        <v>10341392877.645897</v>
      </c>
      <c r="AF100" s="963">
        <f t="shared" si="28"/>
        <v>2.5000000000000001E-2</v>
      </c>
      <c r="AG100" s="691">
        <f t="shared" si="29"/>
        <v>258534821.94114745</v>
      </c>
    </row>
    <row r="101" spans="30:109" x14ac:dyDescent="0.3">
      <c r="AD101" s="960">
        <f t="shared" si="32"/>
        <v>2043</v>
      </c>
      <c r="AE101" s="691">
        <f t="shared" si="31"/>
        <v>10599927699.587044</v>
      </c>
      <c r="AF101" s="963">
        <f t="shared" si="28"/>
        <v>2.5000000000000001E-2</v>
      </c>
      <c r="AG101" s="691">
        <f t="shared" si="29"/>
        <v>264998192.48967612</v>
      </c>
    </row>
    <row r="102" spans="30:109" x14ac:dyDescent="0.3">
      <c r="AD102" s="960">
        <f t="shared" si="32"/>
        <v>2044</v>
      </c>
      <c r="AE102" s="691">
        <f t="shared" si="31"/>
        <v>10864925892.076719</v>
      </c>
      <c r="AF102" s="963">
        <f t="shared" si="28"/>
        <v>2.5000000000000001E-2</v>
      </c>
      <c r="AG102" s="691">
        <f t="shared" si="29"/>
        <v>271623147.30191797</v>
      </c>
    </row>
    <row r="103" spans="30:109" x14ac:dyDescent="0.3">
      <c r="AD103" s="960">
        <f t="shared" si="32"/>
        <v>2045</v>
      </c>
      <c r="AE103" s="691">
        <f t="shared" si="31"/>
        <v>11136549039.378637</v>
      </c>
      <c r="AF103" s="963">
        <f t="shared" si="28"/>
        <v>2.5000000000000001E-2</v>
      </c>
      <c r="AG103" s="691">
        <f t="shared" si="29"/>
        <v>278413725.98446596</v>
      </c>
    </row>
    <row r="104" spans="30:109" x14ac:dyDescent="0.3">
      <c r="AD104" s="960">
        <f t="shared" si="32"/>
        <v>2046</v>
      </c>
      <c r="AE104" s="691">
        <f t="shared" si="31"/>
        <v>11414962765.363104</v>
      </c>
      <c r="AF104" s="963">
        <f t="shared" si="28"/>
        <v>2.5000000000000001E-2</v>
      </c>
      <c r="AG104" s="691">
        <f t="shared" si="29"/>
        <v>285374069.13407761</v>
      </c>
    </row>
    <row r="105" spans="30:109" x14ac:dyDescent="0.3">
      <c r="AD105" s="960">
        <f t="shared" si="32"/>
        <v>2047</v>
      </c>
      <c r="AE105" s="691">
        <f t="shared" si="31"/>
        <v>11700336834.497181</v>
      </c>
      <c r="AF105" s="963">
        <f t="shared" si="28"/>
        <v>2.5000000000000001E-2</v>
      </c>
      <c r="AG105" s="691">
        <f t="shared" si="29"/>
        <v>292508420.86242956</v>
      </c>
    </row>
    <row r="106" spans="30:109"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FB0C-2B54-4FFA-9E6A-388D6B3BF86A}">
  <dimension ref="H7:K14"/>
  <sheetViews>
    <sheetView workbookViewId="0">
      <selection activeCell="K30" sqref="K30"/>
    </sheetView>
  </sheetViews>
  <sheetFormatPr defaultRowHeight="14.4" x14ac:dyDescent="0.3"/>
  <cols>
    <col min="8" max="8" width="21.77734375" bestFit="1" customWidth="1"/>
    <col min="11" max="11" width="21.77734375" bestFit="1" customWidth="1"/>
  </cols>
  <sheetData>
    <row r="7" spans="8:11" x14ac:dyDescent="0.3">
      <c r="K7">
        <v>2500000000000</v>
      </c>
    </row>
    <row r="8" spans="8:11" x14ac:dyDescent="0.3">
      <c r="K8" s="1265">
        <v>5</v>
      </c>
    </row>
    <row r="9" spans="8:11" x14ac:dyDescent="0.3">
      <c r="K9">
        <f>K7*K8</f>
        <v>12500000000000</v>
      </c>
    </row>
    <row r="10" spans="8:11" x14ac:dyDescent="0.3">
      <c r="H10">
        <v>25000000000000</v>
      </c>
    </row>
    <row r="11" spans="8:11" x14ac:dyDescent="0.3">
      <c r="H11" s="23">
        <v>0.66</v>
      </c>
    </row>
    <row r="12" spans="8:11" x14ac:dyDescent="0.3">
      <c r="H12">
        <f>H10*H11</f>
        <v>16500000000000</v>
      </c>
      <c r="K12">
        <f>K9</f>
        <v>12500000000000</v>
      </c>
    </row>
    <row r="13" spans="8:11" x14ac:dyDescent="0.3">
      <c r="K13" s="23">
        <v>0.66</v>
      </c>
    </row>
    <row r="14" spans="8:11" x14ac:dyDescent="0.3">
      <c r="K14">
        <f>K12*K13</f>
        <v>8250000000000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F6202-26DD-43B2-991A-479FC058AD38}">
  <dimension ref="A2:EK106"/>
  <sheetViews>
    <sheetView showGridLines="0" topLeftCell="CY32" workbookViewId="0">
      <selection activeCell="CZ34" sqref="CZ34"/>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6.77734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90"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DS2" s="916"/>
      <c r="DW2" s="916"/>
      <c r="EH2" s="917"/>
      <c r="EI2" s="916"/>
    </row>
    <row r="3" spans="1:139" ht="25.95" customHeight="1" x14ac:dyDescent="0.5">
      <c r="C3" s="570" t="s">
        <v>1446</v>
      </c>
      <c r="F3" s="1081"/>
      <c r="G3" s="648"/>
      <c r="CZ3" s="999" t="s">
        <v>1355</v>
      </c>
    </row>
    <row r="4" spans="1:139"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c r="BT4" s="7"/>
      <c r="BU4" s="632" t="s">
        <v>970</v>
      </c>
      <c r="BV4" s="7"/>
      <c r="BW4" s="7"/>
      <c r="BX4" s="7"/>
      <c r="BY4" s="632" t="s">
        <v>970</v>
      </c>
      <c r="BZ4" s="7"/>
      <c r="CA4" s="7"/>
      <c r="CB4" s="7"/>
      <c r="CC4" s="632" t="s">
        <v>970</v>
      </c>
      <c r="CD4" s="7"/>
      <c r="CE4" s="7"/>
      <c r="CF4" s="7"/>
      <c r="CG4" s="632" t="s">
        <v>970</v>
      </c>
      <c r="CH4" s="7"/>
      <c r="CI4" s="7"/>
      <c r="CJ4" s="7"/>
      <c r="CK4" s="632" t="s">
        <v>970</v>
      </c>
      <c r="CL4" s="7"/>
      <c r="CM4" s="7"/>
      <c r="CN4" s="7"/>
      <c r="CO4" s="632" t="s">
        <v>970</v>
      </c>
      <c r="CP4" s="7"/>
      <c r="CQ4" s="7"/>
      <c r="CR4" s="7"/>
      <c r="CS4" s="632" t="s">
        <v>970</v>
      </c>
      <c r="CT4" s="7"/>
      <c r="CU4" s="7"/>
      <c r="CV4" s="7"/>
      <c r="CW4" s="632" t="s">
        <v>970</v>
      </c>
      <c r="CX4" s="7"/>
      <c r="CY4" s="7"/>
    </row>
    <row r="5" spans="1:139" ht="18.600000000000001" x14ac:dyDescent="0.45">
      <c r="C5" s="37" t="s">
        <v>972</v>
      </c>
      <c r="D5" s="619"/>
      <c r="E5" s="408">
        <f>E11</f>
        <v>18309735474.494347</v>
      </c>
      <c r="F5" s="1082">
        <v>1</v>
      </c>
      <c r="G5" s="408">
        <f>E5*F5</f>
        <v>18309735474.494347</v>
      </c>
      <c r="H5" s="409">
        <v>1</v>
      </c>
      <c r="I5" s="408">
        <f>G5*H5</f>
        <v>18309735474.494347</v>
      </c>
      <c r="J5" s="409">
        <v>1</v>
      </c>
      <c r="K5" s="408">
        <f>I5*J5</f>
        <v>18309735474.494347</v>
      </c>
      <c r="L5" s="409">
        <f>H5</f>
        <v>1</v>
      </c>
      <c r="M5" s="408">
        <f>K5*L5</f>
        <v>18309735474.494347</v>
      </c>
      <c r="N5" s="409">
        <f>J5</f>
        <v>1</v>
      </c>
      <c r="O5" s="408">
        <f>M5*N5</f>
        <v>18309735474.494347</v>
      </c>
      <c r="P5" s="409">
        <f>L5</f>
        <v>1</v>
      </c>
      <c r="Q5" s="408">
        <f>O5*P5</f>
        <v>18309735474.494347</v>
      </c>
      <c r="R5" s="409">
        <f>N5</f>
        <v>1</v>
      </c>
      <c r="S5" s="408">
        <f>Q5*R5</f>
        <v>18309735474.494347</v>
      </c>
      <c r="T5" s="409">
        <f>P5</f>
        <v>1</v>
      </c>
      <c r="U5" s="408">
        <f>S5*T5</f>
        <v>18309735474.494347</v>
      </c>
      <c r="V5" s="409">
        <f>R5</f>
        <v>1</v>
      </c>
      <c r="W5" s="408">
        <f>U5*V5</f>
        <v>18309735474.494347</v>
      </c>
      <c r="X5" s="409">
        <f>T5</f>
        <v>1</v>
      </c>
      <c r="Y5" s="408">
        <f>W5*X5</f>
        <v>18309735474.494347</v>
      </c>
      <c r="Z5" s="409">
        <f>V5</f>
        <v>1</v>
      </c>
      <c r="AA5" s="408">
        <f>Y5*Z5</f>
        <v>18309735474.494347</v>
      </c>
      <c r="AB5" s="409">
        <f>X5</f>
        <v>1</v>
      </c>
      <c r="AC5" s="408">
        <f>AA5*AB5</f>
        <v>18309735474.494347</v>
      </c>
      <c r="AD5" s="409">
        <f>Z5</f>
        <v>1</v>
      </c>
      <c r="AE5" s="408">
        <f>AC5*AD5</f>
        <v>18309735474.494347</v>
      </c>
      <c r="AF5" s="409">
        <f>AB5</f>
        <v>1</v>
      </c>
      <c r="AG5" s="408">
        <f>AE5*AF5</f>
        <v>18309735474.494347</v>
      </c>
      <c r="AH5" s="409">
        <f>AD5</f>
        <v>1</v>
      </c>
      <c r="AI5" s="408">
        <f>AG5*AH5</f>
        <v>18309735474.494347</v>
      </c>
      <c r="AJ5" s="409">
        <f>AF5</f>
        <v>1</v>
      </c>
      <c r="AK5" s="408">
        <f>AI5*AJ5</f>
        <v>18309735474.494347</v>
      </c>
      <c r="AL5" s="409">
        <f>AH5</f>
        <v>1</v>
      </c>
      <c r="AM5" s="408">
        <f>AK5*AL5</f>
        <v>18309735474.494347</v>
      </c>
      <c r="AN5" s="409">
        <f>AJ5</f>
        <v>1</v>
      </c>
      <c r="AO5" s="408">
        <f>AM5*AN5</f>
        <v>18309735474.494347</v>
      </c>
      <c r="AP5" s="409">
        <f>AL5</f>
        <v>1</v>
      </c>
      <c r="AQ5" s="408">
        <f>AO5*AP5</f>
        <v>18309735474.494347</v>
      </c>
      <c r="AR5" s="409">
        <f>AN5</f>
        <v>1</v>
      </c>
      <c r="AS5" s="408">
        <f>AQ5*AR5</f>
        <v>18309735474.494347</v>
      </c>
      <c r="AT5" s="409">
        <f>AP5</f>
        <v>1</v>
      </c>
      <c r="AU5" s="408">
        <f>AS5*AT5</f>
        <v>18309735474.494347</v>
      </c>
      <c r="AV5" s="409">
        <f>AR5</f>
        <v>1</v>
      </c>
      <c r="AW5" s="408">
        <f>AU5*AV5</f>
        <v>18309735474.494347</v>
      </c>
      <c r="AX5" s="409">
        <f>AT5</f>
        <v>1</v>
      </c>
      <c r="AY5" s="408">
        <f>AW5*AX5</f>
        <v>18309735474.494347</v>
      </c>
      <c r="AZ5" s="409">
        <f>AV5</f>
        <v>1</v>
      </c>
      <c r="BA5" s="408">
        <f>AY5*AZ5</f>
        <v>18309735474.494347</v>
      </c>
      <c r="BB5" s="409">
        <f>AX5</f>
        <v>1</v>
      </c>
      <c r="BC5" s="408">
        <f>BA5*BB5</f>
        <v>18309735474.494347</v>
      </c>
      <c r="BD5" s="409">
        <f>AR5</f>
        <v>1</v>
      </c>
      <c r="BE5" s="408">
        <f>BC5*BD5</f>
        <v>18309735474.494347</v>
      </c>
      <c r="BF5" s="409">
        <f>AT5</f>
        <v>1</v>
      </c>
      <c r="BG5" s="408">
        <f>BE5*BF5</f>
        <v>18309735474.494347</v>
      </c>
      <c r="BH5" s="409">
        <f>BD5</f>
        <v>1</v>
      </c>
      <c r="BI5" s="408">
        <f>BG5*BH5</f>
        <v>18309735474.494347</v>
      </c>
      <c r="BJ5" s="409">
        <f>BF5</f>
        <v>1</v>
      </c>
      <c r="BK5" s="408">
        <f>BI5*BJ5</f>
        <v>18309735474.494347</v>
      </c>
      <c r="BL5" s="409">
        <f>BH5</f>
        <v>1</v>
      </c>
      <c r="BM5" s="408">
        <f>BK5*BL5</f>
        <v>18309735474.494347</v>
      </c>
      <c r="BN5" s="409">
        <f>BJ5</f>
        <v>1</v>
      </c>
      <c r="BO5" s="408">
        <f>BM5*BN5</f>
        <v>18309735474.494347</v>
      </c>
      <c r="BP5" s="409">
        <f>BL5</f>
        <v>1</v>
      </c>
      <c r="BQ5" s="408">
        <f>BO5*BP5</f>
        <v>18309735474.494347</v>
      </c>
      <c r="BR5" s="409">
        <f>BN5</f>
        <v>1</v>
      </c>
      <c r="BS5" s="408">
        <f>BQ5*BR5</f>
        <v>18309735474.494347</v>
      </c>
      <c r="BT5" s="409">
        <f>BP5</f>
        <v>1</v>
      </c>
      <c r="BU5" s="408">
        <f>BS5*BT5</f>
        <v>18309735474.494347</v>
      </c>
      <c r="BV5" s="409">
        <f>BR5</f>
        <v>1</v>
      </c>
      <c r="BW5" s="408">
        <f>BU5*BV5</f>
        <v>18309735474.494347</v>
      </c>
      <c r="BX5" s="409">
        <f>BT5</f>
        <v>1</v>
      </c>
      <c r="BY5" s="408">
        <f>BW5*BX5</f>
        <v>18309735474.494347</v>
      </c>
      <c r="BZ5" s="409">
        <f>BV5</f>
        <v>1</v>
      </c>
      <c r="CA5" s="408">
        <f>BY5*BZ5</f>
        <v>18309735474.494347</v>
      </c>
      <c r="CB5" s="409">
        <f>BX5</f>
        <v>1</v>
      </c>
      <c r="CC5" s="408">
        <f>CA5*CB5</f>
        <v>18309735474.494347</v>
      </c>
      <c r="CD5" s="409">
        <f>BZ5</f>
        <v>1</v>
      </c>
      <c r="CE5" s="408">
        <f>CC5*CD5</f>
        <v>18309735474.494347</v>
      </c>
      <c r="CF5" s="409">
        <f>CB5</f>
        <v>1</v>
      </c>
      <c r="CG5" s="408">
        <f>CE5*CF5</f>
        <v>18309735474.494347</v>
      </c>
      <c r="CH5" s="409">
        <f>CD5</f>
        <v>1</v>
      </c>
      <c r="CI5" s="408">
        <f>CG5*CH5</f>
        <v>18309735474.494347</v>
      </c>
      <c r="CJ5" s="409">
        <f>BX5</f>
        <v>1</v>
      </c>
      <c r="CK5" s="408">
        <f>CI5*CJ5</f>
        <v>18309735474.494347</v>
      </c>
      <c r="CL5" s="409">
        <f>BZ5</f>
        <v>1</v>
      </c>
      <c r="CM5" s="408">
        <f>CK5*CL5</f>
        <v>18309735474.494347</v>
      </c>
      <c r="CN5" s="409">
        <f>CJ5</f>
        <v>1</v>
      </c>
      <c r="CO5" s="408">
        <f>CM5*CN5</f>
        <v>18309735474.494347</v>
      </c>
      <c r="CP5" s="409">
        <f>CL5</f>
        <v>1</v>
      </c>
      <c r="CQ5" s="408">
        <f>CO5*CP5</f>
        <v>18309735474.494347</v>
      </c>
      <c r="CR5" s="409">
        <f>AB5</f>
        <v>1</v>
      </c>
      <c r="CS5" s="408">
        <f>CQ5*CR5</f>
        <v>18309735474.494347</v>
      </c>
      <c r="CT5" s="409">
        <f>AD5</f>
        <v>1</v>
      </c>
      <c r="CU5" s="408">
        <f>CS5*CT5</f>
        <v>18309735474.494347</v>
      </c>
      <c r="CV5" s="409">
        <f>CR5</f>
        <v>1</v>
      </c>
      <c r="CW5" s="408">
        <f>CU5*CV5</f>
        <v>18309735474.494347</v>
      </c>
      <c r="CX5" s="409">
        <f>CT5</f>
        <v>1</v>
      </c>
      <c r="CY5" s="408">
        <f>CW5*CX5</f>
        <v>18309735474.494347</v>
      </c>
      <c r="CZ5" s="719">
        <f>G5+I5+M5+Q5+U5+Y5+AC5+AG5+AK5+AO5+AS5+AW5+BA5+BE5+BI5+BM5+BQ5+BU5+BY5+CC5+CG5+CK5+CO5+CS5+CW5</f>
        <v>457743386862.35852</v>
      </c>
      <c r="DB5" s="621">
        <f>CV5</f>
        <v>1</v>
      </c>
      <c r="DC5" s="622">
        <f>CY5*DB5</f>
        <v>18309735474.494347</v>
      </c>
      <c r="DD5" s="626"/>
      <c r="DE5" s="626"/>
      <c r="DF5" s="627"/>
    </row>
    <row r="6" spans="1:139" x14ac:dyDescent="0.3">
      <c r="F6" s="1081"/>
      <c r="CZ6" s="93"/>
      <c r="DF6" s="628"/>
    </row>
    <row r="7" spans="1:139" x14ac:dyDescent="0.3">
      <c r="B7" s="583"/>
      <c r="C7" s="4"/>
      <c r="D7" s="4"/>
      <c r="E7" s="120" t="s">
        <v>1449</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1221" t="s">
        <v>749</v>
      </c>
      <c r="BM7" s="1222" t="s">
        <v>1463</v>
      </c>
      <c r="BN7" s="1223" t="s">
        <v>297</v>
      </c>
      <c r="BO7" s="1222" t="s">
        <v>59</v>
      </c>
      <c r="BP7" s="1217" t="s">
        <v>749</v>
      </c>
      <c r="BQ7" s="925" t="s">
        <v>1464</v>
      </c>
      <c r="BR7" s="1162" t="s">
        <v>297</v>
      </c>
      <c r="BS7" s="925" t="s">
        <v>59</v>
      </c>
      <c r="BT7" s="1221" t="s">
        <v>749</v>
      </c>
      <c r="BU7" s="1222" t="s">
        <v>1469</v>
      </c>
      <c r="BV7" s="1223" t="s">
        <v>297</v>
      </c>
      <c r="BW7" s="1222" t="s">
        <v>59</v>
      </c>
      <c r="BX7" s="1217" t="s">
        <v>749</v>
      </c>
      <c r="BY7" s="925" t="s">
        <v>1470</v>
      </c>
      <c r="BZ7" s="1162" t="s">
        <v>297</v>
      </c>
      <c r="CA7" s="925" t="s">
        <v>59</v>
      </c>
      <c r="CB7" s="1221" t="s">
        <v>749</v>
      </c>
      <c r="CC7" s="1222" t="s">
        <v>1471</v>
      </c>
      <c r="CD7" s="1223" t="s">
        <v>297</v>
      </c>
      <c r="CE7" s="1222" t="s">
        <v>59</v>
      </c>
      <c r="CF7" s="1217" t="s">
        <v>749</v>
      </c>
      <c r="CG7" s="925" t="s">
        <v>1472</v>
      </c>
      <c r="CH7" s="1162" t="s">
        <v>297</v>
      </c>
      <c r="CI7" s="925" t="s">
        <v>59</v>
      </c>
      <c r="CJ7" s="1221" t="s">
        <v>749</v>
      </c>
      <c r="CK7" s="1222" t="s">
        <v>1473</v>
      </c>
      <c r="CL7" s="1223" t="s">
        <v>297</v>
      </c>
      <c r="CM7" s="1222" t="s">
        <v>59</v>
      </c>
      <c r="CN7" s="1217" t="s">
        <v>749</v>
      </c>
      <c r="CO7" s="925" t="s">
        <v>1474</v>
      </c>
      <c r="CP7" s="1162" t="s">
        <v>297</v>
      </c>
      <c r="CQ7" s="925" t="s">
        <v>59</v>
      </c>
      <c r="CR7" s="462" t="s">
        <v>749</v>
      </c>
      <c r="CS7" s="170" t="s">
        <v>1475</v>
      </c>
      <c r="CT7" s="175" t="s">
        <v>297</v>
      </c>
      <c r="CU7" s="170" t="s">
        <v>59</v>
      </c>
      <c r="CV7" s="301" t="s">
        <v>749</v>
      </c>
      <c r="CW7" s="121" t="s">
        <v>1476</v>
      </c>
      <c r="CX7" s="173" t="s">
        <v>297</v>
      </c>
      <c r="CY7" s="121" t="s">
        <v>59</v>
      </c>
      <c r="CZ7" s="121"/>
      <c r="DB7" s="588" t="s">
        <v>1367</v>
      </c>
      <c r="DC7" s="121" t="s">
        <v>1477</v>
      </c>
      <c r="DF7" s="628"/>
    </row>
    <row r="8" spans="1:139" x14ac:dyDescent="0.3">
      <c r="B8" s="584"/>
      <c r="C8" s="7"/>
      <c r="E8" s="875">
        <f>CZ47</f>
        <v>36619470948.988693</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1224" t="s">
        <v>1371</v>
      </c>
      <c r="BM8" s="1225"/>
      <c r="BN8" s="1226"/>
      <c r="BO8" s="1225"/>
      <c r="BP8" s="1218" t="s">
        <v>1371</v>
      </c>
      <c r="BQ8" s="1219"/>
      <c r="BR8" s="1220"/>
      <c r="BS8" s="1219"/>
      <c r="BT8" s="1224" t="s">
        <v>1371</v>
      </c>
      <c r="BU8" s="1225"/>
      <c r="BV8" s="1226"/>
      <c r="BW8" s="1225"/>
      <c r="BX8" s="1218" t="s">
        <v>1371</v>
      </c>
      <c r="BY8" s="1219"/>
      <c r="BZ8" s="1220"/>
      <c r="CA8" s="1219"/>
      <c r="CB8" s="1224" t="s">
        <v>1371</v>
      </c>
      <c r="CC8" s="1225"/>
      <c r="CD8" s="1226"/>
      <c r="CE8" s="1225"/>
      <c r="CF8" s="1218" t="s">
        <v>1371</v>
      </c>
      <c r="CG8" s="1219"/>
      <c r="CH8" s="1220"/>
      <c r="CI8" s="1219"/>
      <c r="CJ8" s="1224" t="s">
        <v>1371</v>
      </c>
      <c r="CK8" s="1225"/>
      <c r="CL8" s="1226"/>
      <c r="CM8" s="1225"/>
      <c r="CN8" s="1218" t="s">
        <v>1371</v>
      </c>
      <c r="CO8" s="1219"/>
      <c r="CP8" s="1220"/>
      <c r="CQ8" s="1219"/>
      <c r="CR8" s="586" t="s">
        <v>1371</v>
      </c>
      <c r="CS8" s="470"/>
      <c r="CT8" s="471"/>
      <c r="CU8" s="470"/>
      <c r="CV8" s="587" t="s">
        <v>1371</v>
      </c>
      <c r="CW8" s="303"/>
      <c r="CX8" s="179"/>
      <c r="CY8" s="303"/>
      <c r="CZ8" s="126"/>
      <c r="DB8" s="589" t="s">
        <v>1371</v>
      </c>
      <c r="DC8" s="303"/>
      <c r="DF8" s="628"/>
    </row>
    <row r="9" spans="1:139"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7"/>
      <c r="BQ9" s="459" t="s">
        <v>282</v>
      </c>
      <c r="BR9" s="122"/>
      <c r="BS9" s="8"/>
      <c r="BT9" s="7"/>
      <c r="BU9" s="459" t="s">
        <v>282</v>
      </c>
      <c r="BV9" s="122"/>
      <c r="BW9" s="8"/>
      <c r="BX9" s="7"/>
      <c r="BY9" s="459" t="s">
        <v>282</v>
      </c>
      <c r="BZ9" s="122"/>
      <c r="CA9" s="8"/>
      <c r="CB9" s="7"/>
      <c r="CC9" s="459" t="s">
        <v>282</v>
      </c>
      <c r="CD9" s="122"/>
      <c r="CE9" s="8"/>
      <c r="CF9" s="7"/>
      <c r="CG9" s="459" t="s">
        <v>282</v>
      </c>
      <c r="CH9" s="122"/>
      <c r="CI9" s="8"/>
      <c r="CJ9" s="7"/>
      <c r="CK9" s="459" t="s">
        <v>282</v>
      </c>
      <c r="CL9" s="122"/>
      <c r="CM9" s="8"/>
      <c r="CN9" s="7"/>
      <c r="CO9" s="459" t="s">
        <v>282</v>
      </c>
      <c r="CP9" s="122"/>
      <c r="CQ9" s="8"/>
      <c r="CR9" s="7"/>
      <c r="CS9" s="459" t="s">
        <v>282</v>
      </c>
      <c r="CT9" s="122"/>
      <c r="CU9" s="8"/>
      <c r="CV9" s="122"/>
      <c r="CW9" s="459" t="s">
        <v>282</v>
      </c>
      <c r="CX9" s="122"/>
      <c r="CY9" s="8"/>
      <c r="CZ9" s="126"/>
      <c r="DB9" s="122"/>
      <c r="DC9" s="459" t="s">
        <v>282</v>
      </c>
      <c r="DF9" s="628"/>
    </row>
    <row r="10" spans="1:139" ht="16.2" thickBot="1" x14ac:dyDescent="0.35">
      <c r="B10" s="585"/>
      <c r="C10" s="1211"/>
      <c r="D10" s="630" t="s">
        <v>953</v>
      </c>
      <c r="E10" s="994">
        <f>DA53</f>
        <v>2048</v>
      </c>
      <c r="F10" s="1085">
        <v>0.25</v>
      </c>
      <c r="G10" s="130">
        <f>E14*F10</f>
        <v>508797328.29557794</v>
      </c>
      <c r="H10" s="460">
        <v>1</v>
      </c>
      <c r="I10" s="130">
        <f>G10*H10</f>
        <v>508797328.29557794</v>
      </c>
      <c r="J10" s="460">
        <v>1</v>
      </c>
      <c r="K10" s="458">
        <f>I10*J10</f>
        <v>508797328.29557794</v>
      </c>
      <c r="L10" s="129">
        <f>H10</f>
        <v>1</v>
      </c>
      <c r="M10" s="458">
        <f>K10*L10</f>
        <v>508797328.29557794</v>
      </c>
      <c r="N10" s="129">
        <f>J10</f>
        <v>1</v>
      </c>
      <c r="O10" s="458">
        <f>M10*N10</f>
        <v>508797328.29557794</v>
      </c>
      <c r="P10" s="129">
        <f>L10</f>
        <v>1</v>
      </c>
      <c r="Q10" s="458">
        <f>O10*P10</f>
        <v>508797328.29557794</v>
      </c>
      <c r="R10" s="129">
        <f>N10</f>
        <v>1</v>
      </c>
      <c r="S10" s="458">
        <f>Q10*R10</f>
        <v>508797328.29557794</v>
      </c>
      <c r="T10" s="129">
        <f>P10</f>
        <v>1</v>
      </c>
      <c r="U10" s="458">
        <f>S10*T10</f>
        <v>508797328.29557794</v>
      </c>
      <c r="V10" s="129">
        <f>R10</f>
        <v>1</v>
      </c>
      <c r="W10" s="458">
        <f>U10*V10</f>
        <v>508797328.29557794</v>
      </c>
      <c r="X10" s="129">
        <f>T10</f>
        <v>1</v>
      </c>
      <c r="Y10" s="458">
        <f>W10*X10</f>
        <v>508797328.29557794</v>
      </c>
      <c r="Z10" s="129">
        <f>V10</f>
        <v>1</v>
      </c>
      <c r="AA10" s="458">
        <f>Y10*Z10</f>
        <v>508797328.29557794</v>
      </c>
      <c r="AB10" s="129">
        <f>X10</f>
        <v>1</v>
      </c>
      <c r="AC10" s="458">
        <f>AA10*AB10</f>
        <v>508797328.29557794</v>
      </c>
      <c r="AD10" s="129">
        <f>Z10</f>
        <v>1</v>
      </c>
      <c r="AE10" s="458">
        <f>AC10*AD10</f>
        <v>508797328.29557794</v>
      </c>
      <c r="AF10" s="129">
        <f>AB10</f>
        <v>1</v>
      </c>
      <c r="AG10" s="458">
        <f>AE10*AF10</f>
        <v>508797328.29557794</v>
      </c>
      <c r="AH10" s="129">
        <f>AD10</f>
        <v>1</v>
      </c>
      <c r="AI10" s="458">
        <f>AG10*AH10</f>
        <v>508797328.29557794</v>
      </c>
      <c r="AJ10" s="129">
        <f>AF10</f>
        <v>1</v>
      </c>
      <c r="AK10" s="458">
        <f>AI10*AJ10</f>
        <v>508797328.29557794</v>
      </c>
      <c r="AL10" s="129">
        <f>AH10</f>
        <v>1</v>
      </c>
      <c r="AM10" s="458">
        <f>AK10*AL10</f>
        <v>508797328.29557794</v>
      </c>
      <c r="AN10" s="129">
        <f>AJ10</f>
        <v>1</v>
      </c>
      <c r="AO10" s="458">
        <f>AM10*AN10</f>
        <v>508797328.29557794</v>
      </c>
      <c r="AP10" s="129">
        <f>AL10</f>
        <v>1</v>
      </c>
      <c r="AQ10" s="458">
        <f>AO10*AP10</f>
        <v>508797328.29557794</v>
      </c>
      <c r="AR10" s="129">
        <f>AN10</f>
        <v>1</v>
      </c>
      <c r="AS10" s="458">
        <f>AQ10*AR10</f>
        <v>508797328.29557794</v>
      </c>
      <c r="AT10" s="129">
        <f>AP10</f>
        <v>1</v>
      </c>
      <c r="AU10" s="458">
        <f>AS10*AT10</f>
        <v>508797328.29557794</v>
      </c>
      <c r="AV10" s="129">
        <f>AR10</f>
        <v>1</v>
      </c>
      <c r="AW10" s="458">
        <f>AU10*AV10</f>
        <v>508797328.29557794</v>
      </c>
      <c r="AX10" s="129">
        <f>AT10</f>
        <v>1</v>
      </c>
      <c r="AY10" s="458">
        <f>AW10*AX10</f>
        <v>508797328.29557794</v>
      </c>
      <c r="AZ10" s="129">
        <f>AV10</f>
        <v>1</v>
      </c>
      <c r="BA10" s="458">
        <f>AY10*AZ10</f>
        <v>508797328.29557794</v>
      </c>
      <c r="BB10" s="129">
        <f>AX10</f>
        <v>1</v>
      </c>
      <c r="BC10" s="458">
        <f>BA10*BB10</f>
        <v>508797328.29557794</v>
      </c>
      <c r="BD10" s="129">
        <f>AR10</f>
        <v>1</v>
      </c>
      <c r="BE10" s="458">
        <f>BC10*BD10</f>
        <v>508797328.29557794</v>
      </c>
      <c r="BF10" s="129">
        <f>AT10</f>
        <v>1</v>
      </c>
      <c r="BG10" s="458">
        <f>BE10*BF10</f>
        <v>508797328.29557794</v>
      </c>
      <c r="BH10" s="129">
        <f>BD10</f>
        <v>1</v>
      </c>
      <c r="BI10" s="458">
        <f>BG10*BH10</f>
        <v>508797328.29557794</v>
      </c>
      <c r="BJ10" s="129">
        <f>BF10</f>
        <v>1</v>
      </c>
      <c r="BK10" s="458">
        <f>BI10*BJ10</f>
        <v>508797328.29557794</v>
      </c>
      <c r="BL10" s="129">
        <f>BH10</f>
        <v>1</v>
      </c>
      <c r="BM10" s="458">
        <f>BK10*BL10</f>
        <v>508797328.29557794</v>
      </c>
      <c r="BN10" s="129">
        <f>BJ10</f>
        <v>1</v>
      </c>
      <c r="BO10" s="458">
        <f>BM10*BN10</f>
        <v>508797328.29557794</v>
      </c>
      <c r="BP10" s="129">
        <f>BL10</f>
        <v>1</v>
      </c>
      <c r="BQ10" s="458">
        <f>BO10*BP10</f>
        <v>508797328.29557794</v>
      </c>
      <c r="BR10" s="129">
        <f>BN10</f>
        <v>1</v>
      </c>
      <c r="BS10" s="458">
        <f>BQ10*BR10</f>
        <v>508797328.29557794</v>
      </c>
      <c r="BT10" s="129">
        <f>BP10</f>
        <v>1</v>
      </c>
      <c r="BU10" s="458">
        <f>BS10*BT10</f>
        <v>508797328.29557794</v>
      </c>
      <c r="BV10" s="129">
        <f>BR10</f>
        <v>1</v>
      </c>
      <c r="BW10" s="458">
        <f>BU10*BV10</f>
        <v>508797328.29557794</v>
      </c>
      <c r="BX10" s="129">
        <f>BT10</f>
        <v>1</v>
      </c>
      <c r="BY10" s="458">
        <f>BW10*BX10</f>
        <v>508797328.29557794</v>
      </c>
      <c r="BZ10" s="129">
        <f>BV10</f>
        <v>1</v>
      </c>
      <c r="CA10" s="458">
        <f>BY10*BZ10</f>
        <v>508797328.29557794</v>
      </c>
      <c r="CB10" s="129">
        <f>BX10</f>
        <v>1</v>
      </c>
      <c r="CC10" s="458">
        <f>CA10*CB10</f>
        <v>508797328.29557794</v>
      </c>
      <c r="CD10" s="129">
        <f>BZ10</f>
        <v>1</v>
      </c>
      <c r="CE10" s="458">
        <f>CC10*CD10</f>
        <v>508797328.29557794</v>
      </c>
      <c r="CF10" s="129">
        <f>CB10</f>
        <v>1</v>
      </c>
      <c r="CG10" s="458">
        <f>CE10*CF10</f>
        <v>508797328.29557794</v>
      </c>
      <c r="CH10" s="129">
        <f>CD10</f>
        <v>1</v>
      </c>
      <c r="CI10" s="458">
        <f>CG10*CH10</f>
        <v>508797328.29557794</v>
      </c>
      <c r="CJ10" s="129">
        <f>BX10</f>
        <v>1</v>
      </c>
      <c r="CK10" s="458">
        <f>CI10*CJ10</f>
        <v>508797328.29557794</v>
      </c>
      <c r="CL10" s="129">
        <f>BZ10</f>
        <v>1</v>
      </c>
      <c r="CM10" s="458">
        <f>CK10*CL10</f>
        <v>508797328.29557794</v>
      </c>
      <c r="CN10" s="129">
        <f>CJ10</f>
        <v>1</v>
      </c>
      <c r="CO10" s="458">
        <f>CM10*CN10</f>
        <v>508797328.29557794</v>
      </c>
      <c r="CP10" s="129">
        <f>CL10</f>
        <v>1</v>
      </c>
      <c r="CQ10" s="458">
        <f>CO10*CP10</f>
        <v>508797328.29557794</v>
      </c>
      <c r="CR10" s="129">
        <f>AB10</f>
        <v>1</v>
      </c>
      <c r="CS10" s="458">
        <f>CQ10*CR10</f>
        <v>508797328.29557794</v>
      </c>
      <c r="CT10" s="129">
        <f>AD10</f>
        <v>1</v>
      </c>
      <c r="CU10" s="458">
        <f>CS10*CT10</f>
        <v>508797328.29557794</v>
      </c>
      <c r="CV10" s="129">
        <f>CR10</f>
        <v>1</v>
      </c>
      <c r="CW10" s="458">
        <f>CU10*CV10</f>
        <v>508797328.29557794</v>
      </c>
      <c r="CX10" s="129">
        <f>CT10</f>
        <v>1</v>
      </c>
      <c r="CY10" s="458">
        <f>CW10*CX10</f>
        <v>508797328.29557794</v>
      </c>
      <c r="CZ10" s="719">
        <f>G10+I10+M10+Q10+U10+Y10+AC10+AG10+AK10+AO10+AS10+AW10+BA10+BE10+BI10+BM10+BQ10+BU10+BY10+CC10+CG10+CK10+CO10+CS10+CW10</f>
        <v>12719933207.389448</v>
      </c>
      <c r="DB10" s="590">
        <f>CV10</f>
        <v>1</v>
      </c>
      <c r="DC10" s="458">
        <f>CY10*DB10</f>
        <v>508797328.29557794</v>
      </c>
      <c r="DD10" s="623"/>
      <c r="DE10" s="624"/>
      <c r="DF10" s="628"/>
    </row>
    <row r="11" spans="1:139" ht="16.2" thickBot="1" x14ac:dyDescent="0.35">
      <c r="B11" s="585"/>
      <c r="C11" s="1078"/>
      <c r="D11" s="630" t="s">
        <v>1291</v>
      </c>
      <c r="E11" s="631">
        <f>E8/2</f>
        <v>18309735474.494347</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7"/>
      <c r="BQ11" s="457" t="s">
        <v>283</v>
      </c>
      <c r="BR11" s="122"/>
      <c r="BS11" s="8"/>
      <c r="BT11" s="7"/>
      <c r="BU11" s="457" t="s">
        <v>283</v>
      </c>
      <c r="BV11" s="122"/>
      <c r="BW11" s="8"/>
      <c r="BX11" s="7"/>
      <c r="BY11" s="457" t="s">
        <v>283</v>
      </c>
      <c r="BZ11" s="122"/>
      <c r="CA11" s="8"/>
      <c r="CB11" s="7"/>
      <c r="CC11" s="457" t="s">
        <v>283</v>
      </c>
      <c r="CD11" s="122"/>
      <c r="CE11" s="8"/>
      <c r="CF11" s="7"/>
      <c r="CG11" s="457" t="s">
        <v>283</v>
      </c>
      <c r="CH11" s="122"/>
      <c r="CI11" s="8"/>
      <c r="CJ11" s="7"/>
      <c r="CK11" s="457" t="s">
        <v>283</v>
      </c>
      <c r="CL11" s="122"/>
      <c r="CM11" s="8"/>
      <c r="CN11" s="7"/>
      <c r="CO11" s="457" t="s">
        <v>283</v>
      </c>
      <c r="CP11" s="122"/>
      <c r="CQ11" s="8"/>
      <c r="CR11" s="7"/>
      <c r="CS11" s="457" t="s">
        <v>283</v>
      </c>
      <c r="CT11" s="122"/>
      <c r="CU11" s="8"/>
      <c r="CV11" s="122"/>
      <c r="CW11" s="457" t="s">
        <v>283</v>
      </c>
      <c r="CX11" s="122"/>
      <c r="CY11" s="8"/>
      <c r="CZ11" s="126"/>
      <c r="DB11" s="122"/>
      <c r="DC11" s="457" t="s">
        <v>283</v>
      </c>
      <c r="DD11" s="623"/>
      <c r="DE11" s="623"/>
      <c r="DF11" s="628"/>
    </row>
    <row r="12" spans="1:139" ht="16.2" thickBot="1" x14ac:dyDescent="0.35">
      <c r="B12" s="584"/>
      <c r="E12" s="997">
        <f>E9*E10</f>
        <v>0</v>
      </c>
      <c r="F12" s="1086">
        <v>0.25</v>
      </c>
      <c r="G12" s="135">
        <f>E14*F12</f>
        <v>508797328.29557794</v>
      </c>
      <c r="H12" s="461">
        <v>1</v>
      </c>
      <c r="I12" s="135">
        <f>G12*H12</f>
        <v>508797328.29557794</v>
      </c>
      <c r="J12" s="461">
        <v>1</v>
      </c>
      <c r="K12" s="440">
        <f>I12*J12</f>
        <v>508797328.29557794</v>
      </c>
      <c r="L12" s="133">
        <f>H12</f>
        <v>1</v>
      </c>
      <c r="M12" s="440">
        <f>K12*L12</f>
        <v>508797328.29557794</v>
      </c>
      <c r="N12" s="133">
        <f>J12</f>
        <v>1</v>
      </c>
      <c r="O12" s="440">
        <f>M12*N12</f>
        <v>508797328.29557794</v>
      </c>
      <c r="P12" s="133">
        <f>L12</f>
        <v>1</v>
      </c>
      <c r="Q12" s="440">
        <f>O12*P12</f>
        <v>508797328.29557794</v>
      </c>
      <c r="R12" s="133">
        <f>N12</f>
        <v>1</v>
      </c>
      <c r="S12" s="440">
        <f>Q12*R12</f>
        <v>508797328.29557794</v>
      </c>
      <c r="T12" s="133">
        <f>P12</f>
        <v>1</v>
      </c>
      <c r="U12" s="440">
        <f>S12*T12</f>
        <v>508797328.29557794</v>
      </c>
      <c r="V12" s="133">
        <f>R12</f>
        <v>1</v>
      </c>
      <c r="W12" s="440">
        <f>U12*V12</f>
        <v>508797328.29557794</v>
      </c>
      <c r="X12" s="133">
        <f>T12</f>
        <v>1</v>
      </c>
      <c r="Y12" s="440">
        <f>W12*X12</f>
        <v>508797328.29557794</v>
      </c>
      <c r="Z12" s="133">
        <f>V12</f>
        <v>1</v>
      </c>
      <c r="AA12" s="440">
        <f>Y12*Z12</f>
        <v>508797328.29557794</v>
      </c>
      <c r="AB12" s="133">
        <f>X12</f>
        <v>1</v>
      </c>
      <c r="AC12" s="440">
        <f>AA12*AB12</f>
        <v>508797328.29557794</v>
      </c>
      <c r="AD12" s="133">
        <f>Z12</f>
        <v>1</v>
      </c>
      <c r="AE12" s="440">
        <f>AC12*AD12</f>
        <v>508797328.29557794</v>
      </c>
      <c r="AF12" s="133">
        <f>AB12</f>
        <v>1</v>
      </c>
      <c r="AG12" s="440">
        <f>AE12*AF12</f>
        <v>508797328.29557794</v>
      </c>
      <c r="AH12" s="133">
        <f>AD12</f>
        <v>1</v>
      </c>
      <c r="AI12" s="440">
        <f>AG12*AH12</f>
        <v>508797328.29557794</v>
      </c>
      <c r="AJ12" s="133">
        <f>AF12</f>
        <v>1</v>
      </c>
      <c r="AK12" s="440">
        <f>AI12*AJ12</f>
        <v>508797328.29557794</v>
      </c>
      <c r="AL12" s="133">
        <f>AH12</f>
        <v>1</v>
      </c>
      <c r="AM12" s="440">
        <f>AK12*AL12</f>
        <v>508797328.29557794</v>
      </c>
      <c r="AN12" s="133">
        <f>AJ12</f>
        <v>1</v>
      </c>
      <c r="AO12" s="440">
        <f>AM12*AN12</f>
        <v>508797328.29557794</v>
      </c>
      <c r="AP12" s="133">
        <f>AL12</f>
        <v>1</v>
      </c>
      <c r="AQ12" s="440">
        <f>AO12*AP12</f>
        <v>508797328.29557794</v>
      </c>
      <c r="AR12" s="133">
        <f>AN12</f>
        <v>1</v>
      </c>
      <c r="AS12" s="440">
        <f>AQ12*AR12</f>
        <v>508797328.29557794</v>
      </c>
      <c r="AT12" s="133">
        <f>AP12</f>
        <v>1</v>
      </c>
      <c r="AU12" s="440">
        <f>AS12*AT12</f>
        <v>508797328.29557794</v>
      </c>
      <c r="AV12" s="133">
        <f>AR12</f>
        <v>1</v>
      </c>
      <c r="AW12" s="440">
        <f>AU12*AV12</f>
        <v>508797328.29557794</v>
      </c>
      <c r="AX12" s="133">
        <f>AT12</f>
        <v>1</v>
      </c>
      <c r="AY12" s="440">
        <f>AW12*AX12</f>
        <v>508797328.29557794</v>
      </c>
      <c r="AZ12" s="133">
        <f>AV12</f>
        <v>1</v>
      </c>
      <c r="BA12" s="440">
        <f>AY12*AZ12</f>
        <v>508797328.29557794</v>
      </c>
      <c r="BB12" s="133">
        <f>AX12</f>
        <v>1</v>
      </c>
      <c r="BC12" s="440">
        <f>BA12*BB12</f>
        <v>508797328.29557794</v>
      </c>
      <c r="BD12" s="133">
        <f>AR12</f>
        <v>1</v>
      </c>
      <c r="BE12" s="440">
        <f>BC12*BD12</f>
        <v>508797328.29557794</v>
      </c>
      <c r="BF12" s="133">
        <f>AT12</f>
        <v>1</v>
      </c>
      <c r="BG12" s="440">
        <f>BE12*BF12</f>
        <v>508797328.29557794</v>
      </c>
      <c r="BH12" s="133">
        <f>BD12</f>
        <v>1</v>
      </c>
      <c r="BI12" s="440">
        <f>BG12*BH12</f>
        <v>508797328.29557794</v>
      </c>
      <c r="BJ12" s="133">
        <f>BF12</f>
        <v>1</v>
      </c>
      <c r="BK12" s="440">
        <f>BI12*BJ12</f>
        <v>508797328.29557794</v>
      </c>
      <c r="BL12" s="133">
        <f>BH12</f>
        <v>1</v>
      </c>
      <c r="BM12" s="440">
        <f>BK12*BL12</f>
        <v>508797328.29557794</v>
      </c>
      <c r="BN12" s="133">
        <f>BJ12</f>
        <v>1</v>
      </c>
      <c r="BO12" s="440">
        <f>BM12*BN12</f>
        <v>508797328.29557794</v>
      </c>
      <c r="BP12" s="133">
        <f>BL12</f>
        <v>1</v>
      </c>
      <c r="BQ12" s="440">
        <f>BO12*BP12</f>
        <v>508797328.29557794</v>
      </c>
      <c r="BR12" s="133">
        <f>BN12</f>
        <v>1</v>
      </c>
      <c r="BS12" s="440">
        <f>BQ12*BR12</f>
        <v>508797328.29557794</v>
      </c>
      <c r="BT12" s="133">
        <f>BP12</f>
        <v>1</v>
      </c>
      <c r="BU12" s="440">
        <f>BS12*BT12</f>
        <v>508797328.29557794</v>
      </c>
      <c r="BV12" s="133">
        <f>BR12</f>
        <v>1</v>
      </c>
      <c r="BW12" s="440">
        <f>BU12*BV12</f>
        <v>508797328.29557794</v>
      </c>
      <c r="BX12" s="133">
        <f>BT12</f>
        <v>1</v>
      </c>
      <c r="BY12" s="440">
        <f>BW12*BX12</f>
        <v>508797328.29557794</v>
      </c>
      <c r="BZ12" s="133">
        <f>BV12</f>
        <v>1</v>
      </c>
      <c r="CA12" s="440">
        <f>BY12*BZ12</f>
        <v>508797328.29557794</v>
      </c>
      <c r="CB12" s="133">
        <f>BX12</f>
        <v>1</v>
      </c>
      <c r="CC12" s="440">
        <f>CA12*CB12</f>
        <v>508797328.29557794</v>
      </c>
      <c r="CD12" s="133">
        <f>BZ12</f>
        <v>1</v>
      </c>
      <c r="CE12" s="440">
        <f>CC12*CD12</f>
        <v>508797328.29557794</v>
      </c>
      <c r="CF12" s="133">
        <f>CB12</f>
        <v>1</v>
      </c>
      <c r="CG12" s="440">
        <f>CE12*CF12</f>
        <v>508797328.29557794</v>
      </c>
      <c r="CH12" s="133">
        <f>CD12</f>
        <v>1</v>
      </c>
      <c r="CI12" s="440">
        <f>CG12*CH12</f>
        <v>508797328.29557794</v>
      </c>
      <c r="CJ12" s="133">
        <f>BX12</f>
        <v>1</v>
      </c>
      <c r="CK12" s="440">
        <f>CI12*CJ12</f>
        <v>508797328.29557794</v>
      </c>
      <c r="CL12" s="133">
        <f>BZ12</f>
        <v>1</v>
      </c>
      <c r="CM12" s="440">
        <f>CK12*CL12</f>
        <v>508797328.29557794</v>
      </c>
      <c r="CN12" s="133">
        <f>CJ12</f>
        <v>1</v>
      </c>
      <c r="CO12" s="440">
        <f>CM12*CN12</f>
        <v>508797328.29557794</v>
      </c>
      <c r="CP12" s="133">
        <f>CL12</f>
        <v>1</v>
      </c>
      <c r="CQ12" s="440">
        <f>CO12*CP12</f>
        <v>508797328.29557794</v>
      </c>
      <c r="CR12" s="133">
        <f>AB12</f>
        <v>1</v>
      </c>
      <c r="CS12" s="440">
        <f>CQ12*CR12</f>
        <v>508797328.29557794</v>
      </c>
      <c r="CT12" s="133">
        <f>AD12</f>
        <v>1</v>
      </c>
      <c r="CU12" s="440">
        <f>CS12*CT12</f>
        <v>508797328.29557794</v>
      </c>
      <c r="CV12" s="133">
        <f>CR12</f>
        <v>1</v>
      </c>
      <c r="CW12" s="440">
        <f>CU12*CV12</f>
        <v>508797328.29557794</v>
      </c>
      <c r="CX12" s="133">
        <f>CT12</f>
        <v>1</v>
      </c>
      <c r="CY12" s="440">
        <f>CW12*CX12</f>
        <v>508797328.29557794</v>
      </c>
      <c r="CZ12" s="719">
        <f>G12+I12+M12+Q12+U12+Y12+AC12+AG12+AK12+AO12+AS12+AW12+BA12+BE12+BI12+BM12+BQ12+BU12+BY12+CC12+CG12+CK12+CO12+CS12+CW12</f>
        <v>12719933207.389448</v>
      </c>
      <c r="DB12" s="591">
        <f>CV12</f>
        <v>1</v>
      </c>
      <c r="DC12" s="440">
        <f>CY12*DB12</f>
        <v>508797328.29557794</v>
      </c>
      <c r="DD12" s="623"/>
      <c r="DE12" s="624"/>
      <c r="DF12" s="628"/>
    </row>
    <row r="13" spans="1:139"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7"/>
      <c r="BQ13" s="451" t="s">
        <v>284</v>
      </c>
      <c r="BR13" s="122"/>
      <c r="BS13" s="8"/>
      <c r="BT13" s="7"/>
      <c r="BU13" s="451" t="s">
        <v>284</v>
      </c>
      <c r="BV13" s="122"/>
      <c r="BW13" s="8"/>
      <c r="BX13" s="7"/>
      <c r="BY13" s="451" t="s">
        <v>284</v>
      </c>
      <c r="BZ13" s="122"/>
      <c r="CA13" s="8"/>
      <c r="CB13" s="7"/>
      <c r="CC13" s="451" t="s">
        <v>284</v>
      </c>
      <c r="CD13" s="122"/>
      <c r="CE13" s="8"/>
      <c r="CF13" s="7"/>
      <c r="CG13" s="451" t="s">
        <v>284</v>
      </c>
      <c r="CH13" s="122"/>
      <c r="CI13" s="8"/>
      <c r="CJ13" s="7"/>
      <c r="CK13" s="451" t="s">
        <v>284</v>
      </c>
      <c r="CL13" s="122"/>
      <c r="CM13" s="8"/>
      <c r="CN13" s="7"/>
      <c r="CO13" s="451" t="s">
        <v>284</v>
      </c>
      <c r="CP13" s="122"/>
      <c r="CQ13" s="8"/>
      <c r="CR13" s="7"/>
      <c r="CS13" s="451" t="s">
        <v>284</v>
      </c>
      <c r="CT13" s="122"/>
      <c r="CU13" s="8"/>
      <c r="CV13" s="122"/>
      <c r="CW13" s="451" t="s">
        <v>284</v>
      </c>
      <c r="CX13" s="122"/>
      <c r="CY13" s="8"/>
      <c r="CZ13" s="126"/>
      <c r="DB13" s="122"/>
      <c r="DC13" s="451" t="s">
        <v>284</v>
      </c>
      <c r="DD13" s="623"/>
      <c r="DE13" s="623"/>
      <c r="DF13" s="628"/>
    </row>
    <row r="14" spans="1:139" ht="16.2" thickBot="1" x14ac:dyDescent="0.35">
      <c r="A14" s="162"/>
      <c r="B14" s="162"/>
      <c r="C14" s="137" t="s">
        <v>291</v>
      </c>
      <c r="D14" s="1212">
        <v>0.111153397929607</v>
      </c>
      <c r="E14" s="139">
        <f>E11*D14</f>
        <v>2035189313.1823118</v>
      </c>
      <c r="F14" s="1088">
        <v>0.5</v>
      </c>
      <c r="G14" s="139">
        <f>E14*F14</f>
        <v>1017594656.5911559</v>
      </c>
      <c r="H14" s="463">
        <v>1</v>
      </c>
      <c r="I14" s="139">
        <f>G14*H14</f>
        <v>1017594656.5911559</v>
      </c>
      <c r="J14" s="463">
        <v>1</v>
      </c>
      <c r="K14" s="441">
        <f>I14*J14</f>
        <v>1017594656.5911559</v>
      </c>
      <c r="L14" s="140">
        <f>H14</f>
        <v>1</v>
      </c>
      <c r="M14" s="441">
        <f>K14*L14</f>
        <v>1017594656.5911559</v>
      </c>
      <c r="N14" s="140">
        <f>J14</f>
        <v>1</v>
      </c>
      <c r="O14" s="441">
        <f>M14*N14</f>
        <v>1017594656.5911559</v>
      </c>
      <c r="P14" s="140">
        <f>L14</f>
        <v>1</v>
      </c>
      <c r="Q14" s="441">
        <f>O14*P14</f>
        <v>1017594656.5911559</v>
      </c>
      <c r="R14" s="140">
        <f>N14</f>
        <v>1</v>
      </c>
      <c r="S14" s="441">
        <f>Q14*R14</f>
        <v>1017594656.5911559</v>
      </c>
      <c r="T14" s="140">
        <f>P14</f>
        <v>1</v>
      </c>
      <c r="U14" s="441">
        <f>S14*T14</f>
        <v>1017594656.5911559</v>
      </c>
      <c r="V14" s="140">
        <f>R14</f>
        <v>1</v>
      </c>
      <c r="W14" s="441">
        <f>U14*V14</f>
        <v>1017594656.5911559</v>
      </c>
      <c r="X14" s="140">
        <f>T14</f>
        <v>1</v>
      </c>
      <c r="Y14" s="441">
        <f>W14*X14</f>
        <v>1017594656.5911559</v>
      </c>
      <c r="Z14" s="140">
        <f>V14</f>
        <v>1</v>
      </c>
      <c r="AA14" s="441">
        <f>Y14*Z14</f>
        <v>1017594656.5911559</v>
      </c>
      <c r="AB14" s="140">
        <f>X14</f>
        <v>1</v>
      </c>
      <c r="AC14" s="441">
        <f>AA14*AB14</f>
        <v>1017594656.5911559</v>
      </c>
      <c r="AD14" s="140">
        <f>Z14</f>
        <v>1</v>
      </c>
      <c r="AE14" s="441">
        <f>AC14*AD14</f>
        <v>1017594656.5911559</v>
      </c>
      <c r="AF14" s="140">
        <f>AB14</f>
        <v>1</v>
      </c>
      <c r="AG14" s="441">
        <f>AE14*AF14</f>
        <v>1017594656.5911559</v>
      </c>
      <c r="AH14" s="140">
        <f>AD14</f>
        <v>1</v>
      </c>
      <c r="AI14" s="441">
        <f>AG14*AH14</f>
        <v>1017594656.5911559</v>
      </c>
      <c r="AJ14" s="140">
        <f>AF14</f>
        <v>1</v>
      </c>
      <c r="AK14" s="441">
        <f>AI14*AJ14</f>
        <v>1017594656.5911559</v>
      </c>
      <c r="AL14" s="140">
        <f>AH14</f>
        <v>1</v>
      </c>
      <c r="AM14" s="441">
        <f>AK14*AL14</f>
        <v>1017594656.5911559</v>
      </c>
      <c r="AN14" s="140">
        <f>AJ14</f>
        <v>1</v>
      </c>
      <c r="AO14" s="441">
        <f>AM14*AN14</f>
        <v>1017594656.5911559</v>
      </c>
      <c r="AP14" s="140">
        <f>AL14</f>
        <v>1</v>
      </c>
      <c r="AQ14" s="441">
        <f>AO14*AP14</f>
        <v>1017594656.5911559</v>
      </c>
      <c r="AR14" s="140">
        <f>AN14</f>
        <v>1</v>
      </c>
      <c r="AS14" s="441">
        <f>AQ14*AR14</f>
        <v>1017594656.5911559</v>
      </c>
      <c r="AT14" s="140">
        <f>AP14</f>
        <v>1</v>
      </c>
      <c r="AU14" s="441">
        <f>AS14*AT14</f>
        <v>1017594656.5911559</v>
      </c>
      <c r="AV14" s="140">
        <f>AR14</f>
        <v>1</v>
      </c>
      <c r="AW14" s="441">
        <f>AU14*AV14</f>
        <v>1017594656.5911559</v>
      </c>
      <c r="AX14" s="140">
        <f>AT14</f>
        <v>1</v>
      </c>
      <c r="AY14" s="441">
        <f>AW14*AX14</f>
        <v>1017594656.5911559</v>
      </c>
      <c r="AZ14" s="140">
        <f>AV14</f>
        <v>1</v>
      </c>
      <c r="BA14" s="441">
        <f>AY14*AZ14</f>
        <v>1017594656.5911559</v>
      </c>
      <c r="BB14" s="140">
        <f>AX14</f>
        <v>1</v>
      </c>
      <c r="BC14" s="441">
        <f>BA14*BB14</f>
        <v>1017594656.5911559</v>
      </c>
      <c r="BD14" s="140">
        <f>AR14</f>
        <v>1</v>
      </c>
      <c r="BE14" s="441">
        <f>BC14*BD14</f>
        <v>1017594656.5911559</v>
      </c>
      <c r="BF14" s="140">
        <f>AT14</f>
        <v>1</v>
      </c>
      <c r="BG14" s="441">
        <f>BE14*BF14</f>
        <v>1017594656.5911559</v>
      </c>
      <c r="BH14" s="140">
        <f>BD14</f>
        <v>1</v>
      </c>
      <c r="BI14" s="441">
        <f>BG14*BH14</f>
        <v>1017594656.5911559</v>
      </c>
      <c r="BJ14" s="140">
        <f>BF14</f>
        <v>1</v>
      </c>
      <c r="BK14" s="441">
        <f>BI14*BJ14</f>
        <v>1017594656.5911559</v>
      </c>
      <c r="BL14" s="140">
        <f>BH14</f>
        <v>1</v>
      </c>
      <c r="BM14" s="441">
        <f>BK14*BL14</f>
        <v>1017594656.5911559</v>
      </c>
      <c r="BN14" s="140">
        <f>BJ14</f>
        <v>1</v>
      </c>
      <c r="BO14" s="441">
        <f>BM14*BN14</f>
        <v>1017594656.5911559</v>
      </c>
      <c r="BP14" s="140">
        <f>BL14</f>
        <v>1</v>
      </c>
      <c r="BQ14" s="441">
        <f>BO14*BP14</f>
        <v>1017594656.5911559</v>
      </c>
      <c r="BR14" s="140">
        <f>BN14</f>
        <v>1</v>
      </c>
      <c r="BS14" s="441">
        <f>BQ14*BR14</f>
        <v>1017594656.5911559</v>
      </c>
      <c r="BT14" s="140">
        <f>BP14</f>
        <v>1</v>
      </c>
      <c r="BU14" s="441">
        <f>BS14*BT14</f>
        <v>1017594656.5911559</v>
      </c>
      <c r="BV14" s="140">
        <f>BR14</f>
        <v>1</v>
      </c>
      <c r="BW14" s="441">
        <f>BU14*BV14</f>
        <v>1017594656.5911559</v>
      </c>
      <c r="BX14" s="140">
        <f>BT14</f>
        <v>1</v>
      </c>
      <c r="BY14" s="441">
        <f>BW14*BX14</f>
        <v>1017594656.5911559</v>
      </c>
      <c r="BZ14" s="140">
        <f>BV14</f>
        <v>1</v>
      </c>
      <c r="CA14" s="441">
        <f>BY14*BZ14</f>
        <v>1017594656.5911559</v>
      </c>
      <c r="CB14" s="140">
        <f>BX14</f>
        <v>1</v>
      </c>
      <c r="CC14" s="441">
        <f>CA14*CB14</f>
        <v>1017594656.5911559</v>
      </c>
      <c r="CD14" s="140">
        <f>BZ14</f>
        <v>1</v>
      </c>
      <c r="CE14" s="441">
        <f>CC14*CD14</f>
        <v>1017594656.5911559</v>
      </c>
      <c r="CF14" s="140">
        <f>CB14</f>
        <v>1</v>
      </c>
      <c r="CG14" s="441">
        <f>CE14*CF14</f>
        <v>1017594656.5911559</v>
      </c>
      <c r="CH14" s="140">
        <f>CD14</f>
        <v>1</v>
      </c>
      <c r="CI14" s="441">
        <f>CG14*CH14</f>
        <v>1017594656.5911559</v>
      </c>
      <c r="CJ14" s="140">
        <f>BX14</f>
        <v>1</v>
      </c>
      <c r="CK14" s="441">
        <f>CI14*CJ14</f>
        <v>1017594656.5911559</v>
      </c>
      <c r="CL14" s="140">
        <f>BZ14</f>
        <v>1</v>
      </c>
      <c r="CM14" s="441">
        <f>CK14*CL14</f>
        <v>1017594656.5911559</v>
      </c>
      <c r="CN14" s="140">
        <f>CJ14</f>
        <v>1</v>
      </c>
      <c r="CO14" s="441">
        <f>CM14*CN14</f>
        <v>1017594656.5911559</v>
      </c>
      <c r="CP14" s="140">
        <f>CL14</f>
        <v>1</v>
      </c>
      <c r="CQ14" s="441">
        <f>CO14*CP14</f>
        <v>1017594656.5911559</v>
      </c>
      <c r="CR14" s="140">
        <f>AB14</f>
        <v>1</v>
      </c>
      <c r="CS14" s="441">
        <f>CQ14*CR14</f>
        <v>1017594656.5911559</v>
      </c>
      <c r="CT14" s="140">
        <f>AD14</f>
        <v>1</v>
      </c>
      <c r="CU14" s="441">
        <f>CS14*CT14</f>
        <v>1017594656.5911559</v>
      </c>
      <c r="CV14" s="140">
        <f>CR14</f>
        <v>1</v>
      </c>
      <c r="CW14" s="441">
        <f>CU14*CV14</f>
        <v>1017594656.5911559</v>
      </c>
      <c r="CX14" s="140">
        <f>CT14</f>
        <v>1</v>
      </c>
      <c r="CY14" s="441">
        <f>CW14*CX14</f>
        <v>1017594656.5911559</v>
      </c>
      <c r="CZ14" s="719">
        <f>G14+I14+M14+Q14+U14+Y14+AC14+AG14+AK14+AO14+AS14+AW14+BA14+BE14+BI14+BM14+BQ14+BU14+BY14+CC14+CG14+CK14+CO14+CS14+CW14</f>
        <v>25439866414.778896</v>
      </c>
      <c r="DB14" s="592">
        <f>CV14</f>
        <v>1</v>
      </c>
      <c r="DC14" s="441">
        <f>CY14*DB14</f>
        <v>1017594656.5911559</v>
      </c>
      <c r="DD14" s="623"/>
      <c r="DE14" s="624"/>
      <c r="DF14" s="628"/>
    </row>
    <row r="15" spans="1:139"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23"/>
      <c r="DE15" s="623"/>
      <c r="DF15" s="628"/>
    </row>
    <row r="16" spans="1:139"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251"/>
      <c r="BQ16" s="454" t="s">
        <v>744</v>
      </c>
      <c r="BR16" s="455"/>
      <c r="BS16" s="456"/>
      <c r="BT16" s="251"/>
      <c r="BU16" s="454" t="s">
        <v>744</v>
      </c>
      <c r="BV16" s="455"/>
      <c r="BW16" s="456"/>
      <c r="BX16" s="251"/>
      <c r="BY16" s="454" t="s">
        <v>744</v>
      </c>
      <c r="BZ16" s="455"/>
      <c r="CA16" s="456"/>
      <c r="CB16" s="251"/>
      <c r="CC16" s="454" t="s">
        <v>744</v>
      </c>
      <c r="CD16" s="455"/>
      <c r="CE16" s="456"/>
      <c r="CF16" s="251"/>
      <c r="CG16" s="454" t="s">
        <v>744</v>
      </c>
      <c r="CH16" s="455"/>
      <c r="CI16" s="456"/>
      <c r="CJ16" s="251"/>
      <c r="CK16" s="454" t="s">
        <v>744</v>
      </c>
      <c r="CL16" s="455"/>
      <c r="CM16" s="456"/>
      <c r="CN16" s="251"/>
      <c r="CO16" s="454" t="s">
        <v>744</v>
      </c>
      <c r="CP16" s="455"/>
      <c r="CQ16" s="456"/>
      <c r="CR16" s="251"/>
      <c r="CS16" s="454" t="s">
        <v>744</v>
      </c>
      <c r="CT16" s="455"/>
      <c r="CU16" s="456"/>
      <c r="CV16" s="455"/>
      <c r="CW16" s="454" t="s">
        <v>744</v>
      </c>
      <c r="CX16" s="141"/>
      <c r="CY16" s="164"/>
      <c r="CZ16" s="126"/>
      <c r="DB16" s="455"/>
      <c r="DC16" s="454" t="s">
        <v>744</v>
      </c>
      <c r="DD16" s="625"/>
      <c r="DE16" s="625"/>
      <c r="DF16" s="628"/>
      <c r="DS16" s="233"/>
      <c r="DW16" s="233"/>
      <c r="EH16" s="345"/>
      <c r="EI16" s="233"/>
    </row>
    <row r="17" spans="1:141" ht="16.2" thickBot="1" x14ac:dyDescent="0.35">
      <c r="A17" s="18"/>
      <c r="B17" s="18"/>
      <c r="C17" s="397" t="s">
        <v>276</v>
      </c>
      <c r="D17" s="1213">
        <f>100%-D14-D21</f>
        <v>0.5625</v>
      </c>
      <c r="E17" s="399">
        <f>E11*D17</f>
        <v>10299226204.40307</v>
      </c>
      <c r="F17" s="1090">
        <v>1</v>
      </c>
      <c r="G17" s="399">
        <f>E17*F17</f>
        <v>10299226204.40307</v>
      </c>
      <c r="H17" s="464">
        <v>1</v>
      </c>
      <c r="I17" s="399">
        <f>G17*H17</f>
        <v>10299226204.40307</v>
      </c>
      <c r="J17" s="464">
        <v>1</v>
      </c>
      <c r="K17" s="453">
        <f>I17*J17</f>
        <v>10299226204.40307</v>
      </c>
      <c r="L17" s="400">
        <f>H17</f>
        <v>1</v>
      </c>
      <c r="M17" s="453">
        <f>K17*L17</f>
        <v>10299226204.40307</v>
      </c>
      <c r="N17" s="400">
        <f>J17</f>
        <v>1</v>
      </c>
      <c r="O17" s="453">
        <f>M17*N17</f>
        <v>10299226204.40307</v>
      </c>
      <c r="P17" s="400">
        <f>L17</f>
        <v>1</v>
      </c>
      <c r="Q17" s="453">
        <f>O17*P17</f>
        <v>10299226204.40307</v>
      </c>
      <c r="R17" s="400">
        <f>N17</f>
        <v>1</v>
      </c>
      <c r="S17" s="453">
        <f>Q17*R17</f>
        <v>10299226204.40307</v>
      </c>
      <c r="T17" s="400">
        <f>P17</f>
        <v>1</v>
      </c>
      <c r="U17" s="453">
        <f>S17*T17</f>
        <v>10299226204.40307</v>
      </c>
      <c r="V17" s="400">
        <f>R17</f>
        <v>1</v>
      </c>
      <c r="W17" s="453">
        <f>U17*V17</f>
        <v>10299226204.40307</v>
      </c>
      <c r="X17" s="400">
        <f>T17</f>
        <v>1</v>
      </c>
      <c r="Y17" s="453">
        <f>W17*X17</f>
        <v>10299226204.40307</v>
      </c>
      <c r="Z17" s="400">
        <f>V17</f>
        <v>1</v>
      </c>
      <c r="AA17" s="453">
        <f>Y17*Z17</f>
        <v>10299226204.40307</v>
      </c>
      <c r="AB17" s="400">
        <f>X17</f>
        <v>1</v>
      </c>
      <c r="AC17" s="453">
        <f>AA17*AB17</f>
        <v>10299226204.40307</v>
      </c>
      <c r="AD17" s="400">
        <f>Z17</f>
        <v>1</v>
      </c>
      <c r="AE17" s="453">
        <f>AC17*AD17</f>
        <v>10299226204.40307</v>
      </c>
      <c r="AF17" s="400">
        <f>AB17</f>
        <v>1</v>
      </c>
      <c r="AG17" s="453">
        <f>AE17*AF17</f>
        <v>10299226204.40307</v>
      </c>
      <c r="AH17" s="400">
        <f>AD17</f>
        <v>1</v>
      </c>
      <c r="AI17" s="453">
        <f>AG17*AH17</f>
        <v>10299226204.40307</v>
      </c>
      <c r="AJ17" s="400">
        <f>AF17</f>
        <v>1</v>
      </c>
      <c r="AK17" s="453">
        <f>AI17*AJ17</f>
        <v>10299226204.40307</v>
      </c>
      <c r="AL17" s="400">
        <f>AH17</f>
        <v>1</v>
      </c>
      <c r="AM17" s="453">
        <f>AK17*AL17</f>
        <v>10299226204.40307</v>
      </c>
      <c r="AN17" s="400">
        <f>AJ17</f>
        <v>1</v>
      </c>
      <c r="AO17" s="453">
        <f>AM17*AN17</f>
        <v>10299226204.40307</v>
      </c>
      <c r="AP17" s="400">
        <f>AL17</f>
        <v>1</v>
      </c>
      <c r="AQ17" s="453">
        <f>AO17*AP17</f>
        <v>10299226204.40307</v>
      </c>
      <c r="AR17" s="400">
        <f>AN17</f>
        <v>1</v>
      </c>
      <c r="AS17" s="453">
        <f>AQ17*AR17</f>
        <v>10299226204.40307</v>
      </c>
      <c r="AT17" s="400">
        <f>AP17</f>
        <v>1</v>
      </c>
      <c r="AU17" s="453">
        <f>AS17*AT17</f>
        <v>10299226204.40307</v>
      </c>
      <c r="AV17" s="400">
        <f>AR17</f>
        <v>1</v>
      </c>
      <c r="AW17" s="453">
        <f>AU17*AV17</f>
        <v>10299226204.40307</v>
      </c>
      <c r="AX17" s="400">
        <f>AT17</f>
        <v>1</v>
      </c>
      <c r="AY17" s="453">
        <f>AW17*AX17</f>
        <v>10299226204.40307</v>
      </c>
      <c r="AZ17" s="400">
        <f>AV17</f>
        <v>1</v>
      </c>
      <c r="BA17" s="453">
        <f>AY17*AZ17</f>
        <v>10299226204.40307</v>
      </c>
      <c r="BB17" s="400">
        <f>AX17</f>
        <v>1</v>
      </c>
      <c r="BC17" s="453">
        <f>BA17*BB17</f>
        <v>10299226204.40307</v>
      </c>
      <c r="BD17" s="400">
        <f>AR17</f>
        <v>1</v>
      </c>
      <c r="BE17" s="453">
        <f>BC17*BD17</f>
        <v>10299226204.40307</v>
      </c>
      <c r="BF17" s="400">
        <f>AT17</f>
        <v>1</v>
      </c>
      <c r="BG17" s="453">
        <f>BE17*BF17</f>
        <v>10299226204.40307</v>
      </c>
      <c r="BH17" s="400">
        <f>BD17</f>
        <v>1</v>
      </c>
      <c r="BI17" s="453">
        <f>BG17*BH17</f>
        <v>10299226204.40307</v>
      </c>
      <c r="BJ17" s="400">
        <f>BF17</f>
        <v>1</v>
      </c>
      <c r="BK17" s="453">
        <f>BI17*BJ17</f>
        <v>10299226204.40307</v>
      </c>
      <c r="BL17" s="400">
        <f>BH17</f>
        <v>1</v>
      </c>
      <c r="BM17" s="453">
        <f>BK17*BL17</f>
        <v>10299226204.40307</v>
      </c>
      <c r="BN17" s="400">
        <f>BJ17</f>
        <v>1</v>
      </c>
      <c r="BO17" s="453">
        <f>BM17*BN17</f>
        <v>10299226204.40307</v>
      </c>
      <c r="BP17" s="400">
        <f>BL17</f>
        <v>1</v>
      </c>
      <c r="BQ17" s="453">
        <f>BO17*BP17</f>
        <v>10299226204.40307</v>
      </c>
      <c r="BR17" s="400">
        <f>BN17</f>
        <v>1</v>
      </c>
      <c r="BS17" s="453">
        <f>BQ17*BR17</f>
        <v>10299226204.40307</v>
      </c>
      <c r="BT17" s="400">
        <f>BP17</f>
        <v>1</v>
      </c>
      <c r="BU17" s="453">
        <f>BS17*BT17</f>
        <v>10299226204.40307</v>
      </c>
      <c r="BV17" s="400">
        <f>BR17</f>
        <v>1</v>
      </c>
      <c r="BW17" s="453">
        <f>BU17*BV17</f>
        <v>10299226204.40307</v>
      </c>
      <c r="BX17" s="400">
        <f>BT17</f>
        <v>1</v>
      </c>
      <c r="BY17" s="453">
        <f>BW17*BX17</f>
        <v>10299226204.40307</v>
      </c>
      <c r="BZ17" s="400">
        <f>BV17</f>
        <v>1</v>
      </c>
      <c r="CA17" s="453">
        <f>BY17*BZ17</f>
        <v>10299226204.40307</v>
      </c>
      <c r="CB17" s="400">
        <f>BX17</f>
        <v>1</v>
      </c>
      <c r="CC17" s="453">
        <f>CA17*CB17</f>
        <v>10299226204.40307</v>
      </c>
      <c r="CD17" s="400">
        <f>BZ17</f>
        <v>1</v>
      </c>
      <c r="CE17" s="453">
        <f>CC17*CD17</f>
        <v>10299226204.40307</v>
      </c>
      <c r="CF17" s="400">
        <f>CB17</f>
        <v>1</v>
      </c>
      <c r="CG17" s="453">
        <f>CE17*CF17</f>
        <v>10299226204.40307</v>
      </c>
      <c r="CH17" s="400">
        <f>CD17</f>
        <v>1</v>
      </c>
      <c r="CI17" s="453">
        <f>CG17*CH17</f>
        <v>10299226204.40307</v>
      </c>
      <c r="CJ17" s="400">
        <f>BX17</f>
        <v>1</v>
      </c>
      <c r="CK17" s="453">
        <f>CI17*CJ17</f>
        <v>10299226204.40307</v>
      </c>
      <c r="CL17" s="400">
        <f>BZ17</f>
        <v>1</v>
      </c>
      <c r="CM17" s="453">
        <f>CK17*CL17</f>
        <v>10299226204.40307</v>
      </c>
      <c r="CN17" s="400">
        <f>CJ17</f>
        <v>1</v>
      </c>
      <c r="CO17" s="453">
        <f>CM17*CN17</f>
        <v>10299226204.40307</v>
      </c>
      <c r="CP17" s="400">
        <f>CL17</f>
        <v>1</v>
      </c>
      <c r="CQ17" s="453">
        <f>CO17*CP17</f>
        <v>10299226204.40307</v>
      </c>
      <c r="CR17" s="400">
        <f>AB17</f>
        <v>1</v>
      </c>
      <c r="CS17" s="453">
        <f>CQ17*CR17</f>
        <v>10299226204.40307</v>
      </c>
      <c r="CT17" s="400">
        <f>AD17</f>
        <v>1</v>
      </c>
      <c r="CU17" s="453">
        <f>CS17*CT17</f>
        <v>10299226204.40307</v>
      </c>
      <c r="CV17" s="400">
        <f>CR17</f>
        <v>1</v>
      </c>
      <c r="CW17" s="453">
        <f>CU17*CV17</f>
        <v>10299226204.40307</v>
      </c>
      <c r="CX17" s="400">
        <f>CT17</f>
        <v>1</v>
      </c>
      <c r="CY17" s="453">
        <f>CW17*CX17</f>
        <v>10299226204.40307</v>
      </c>
      <c r="CZ17" s="719">
        <f>G17+I17+M17+Q17+U17+Y17+AC17+AG17+AK17+AO17+AS17+AW17+BA17+BE17+BI17+BM17+BQ17+BU17+BY17+CC17+CG17+CK17+CO17+CS17+CW17</f>
        <v>257480655110.07684</v>
      </c>
      <c r="DB17" s="593">
        <f>CV17</f>
        <v>1</v>
      </c>
      <c r="DC17" s="453">
        <f>CY17*DB17</f>
        <v>10299226204.40307</v>
      </c>
      <c r="DD17" s="623"/>
      <c r="DE17" s="624"/>
      <c r="DF17" s="628"/>
      <c r="DV17" s="974" t="s">
        <v>872</v>
      </c>
      <c r="DX17" s="974" t="s">
        <v>872</v>
      </c>
      <c r="EA17" s="974" t="s">
        <v>872</v>
      </c>
    </row>
    <row r="18" spans="1:141"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23"/>
      <c r="DE18" s="623"/>
      <c r="DF18" s="628"/>
      <c r="DV18" s="974" t="s">
        <v>5</v>
      </c>
      <c r="DX18" s="974" t="s">
        <v>7</v>
      </c>
      <c r="EA18" s="77" t="s">
        <v>968</v>
      </c>
    </row>
    <row r="19" spans="1:141"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23"/>
      <c r="DE19" s="623"/>
      <c r="DF19" s="628"/>
      <c r="DI19" s="473"/>
      <c r="DJ19" s="473"/>
      <c r="DK19" s="473"/>
      <c r="DL19" s="473"/>
      <c r="DM19" s="473"/>
      <c r="DN19" s="473"/>
      <c r="DO19" s="473"/>
      <c r="DP19" s="473"/>
      <c r="DQ19" s="473"/>
      <c r="DR19" s="473"/>
      <c r="DS19" s="970"/>
      <c r="DT19" s="485"/>
      <c r="DU19" s="485"/>
      <c r="DV19" s="485" t="s">
        <v>961</v>
      </c>
      <c r="DW19" s="485" t="s">
        <v>967</v>
      </c>
      <c r="DX19" s="485" t="s">
        <v>59</v>
      </c>
      <c r="DY19" s="485" t="s">
        <v>1343</v>
      </c>
      <c r="DZ19" s="485" t="s">
        <v>1344</v>
      </c>
      <c r="EA19" s="485"/>
      <c r="EB19" s="473"/>
      <c r="EC19" s="485" t="s">
        <v>966</v>
      </c>
      <c r="ED19" s="485" t="s">
        <v>974</v>
      </c>
      <c r="EE19" s="485" t="s">
        <v>965</v>
      </c>
      <c r="EF19" s="485" t="s">
        <v>965</v>
      </c>
      <c r="EG19" s="485" t="s">
        <v>1345</v>
      </c>
      <c r="EH19" s="305" t="s">
        <v>1286</v>
      </c>
      <c r="EI19" s="304"/>
    </row>
    <row r="20" spans="1:141"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7"/>
      <c r="BQ20" s="450" t="s">
        <v>285</v>
      </c>
      <c r="BR20" s="122"/>
      <c r="BS20" s="8"/>
      <c r="BT20" s="7"/>
      <c r="BU20" s="450" t="s">
        <v>285</v>
      </c>
      <c r="BV20" s="122"/>
      <c r="BW20" s="8"/>
      <c r="BX20" s="7"/>
      <c r="BY20" s="450" t="s">
        <v>285</v>
      </c>
      <c r="BZ20" s="122"/>
      <c r="CA20" s="8"/>
      <c r="CB20" s="7"/>
      <c r="CC20" s="450" t="s">
        <v>285</v>
      </c>
      <c r="CD20" s="122"/>
      <c r="CE20" s="8"/>
      <c r="CF20" s="7"/>
      <c r="CG20" s="450" t="s">
        <v>285</v>
      </c>
      <c r="CH20" s="122"/>
      <c r="CI20" s="8"/>
      <c r="CJ20" s="7"/>
      <c r="CK20" s="450" t="s">
        <v>285</v>
      </c>
      <c r="CL20" s="122"/>
      <c r="CM20" s="8"/>
      <c r="CN20" s="7"/>
      <c r="CO20" s="450" t="s">
        <v>285</v>
      </c>
      <c r="CP20" s="122"/>
      <c r="CQ20" s="8"/>
      <c r="CR20" s="7"/>
      <c r="CS20" s="450" t="s">
        <v>285</v>
      </c>
      <c r="CT20" s="122"/>
      <c r="CU20" s="8"/>
      <c r="CV20" s="122"/>
      <c r="CW20" s="450" t="s">
        <v>285</v>
      </c>
      <c r="CX20" s="122"/>
      <c r="CY20" s="8"/>
      <c r="CZ20" s="126"/>
      <c r="DB20" s="122"/>
      <c r="DC20" s="450" t="s">
        <v>285</v>
      </c>
      <c r="DD20" s="623"/>
      <c r="DE20" s="623"/>
      <c r="DF20" s="628"/>
      <c r="DI20" s="473"/>
      <c r="DJ20" s="473"/>
      <c r="DK20" s="473"/>
      <c r="DL20" s="473"/>
      <c r="DM20" s="473"/>
      <c r="DN20" s="473"/>
      <c r="DO20" s="473"/>
      <c r="DP20" s="473"/>
      <c r="DQ20" s="473"/>
      <c r="DR20" s="473"/>
      <c r="DS20" s="970"/>
      <c r="DT20" s="485"/>
      <c r="DU20" s="485"/>
      <c r="DV20" s="971">
        <f>'POP Dimensions'!C15</f>
        <v>10737418.24</v>
      </c>
      <c r="DW20" s="954">
        <v>64</v>
      </c>
      <c r="DX20" s="972">
        <f>DW20*DV20</f>
        <v>687194767.36000001</v>
      </c>
      <c r="DY20" s="954">
        <v>16</v>
      </c>
      <c r="DZ20" s="954"/>
      <c r="EA20" s="971">
        <f>DX20*DY20</f>
        <v>10995116277.76</v>
      </c>
      <c r="EB20" s="473"/>
      <c r="EC20" s="485" t="s">
        <v>785</v>
      </c>
      <c r="ED20" s="485"/>
      <c r="EE20" s="485" t="s">
        <v>962</v>
      </c>
      <c r="EF20" s="485" t="s">
        <v>1341</v>
      </c>
      <c r="EG20" s="485" t="s">
        <v>1342</v>
      </c>
      <c r="EH20" s="305"/>
      <c r="EI20" s="304"/>
    </row>
    <row r="21" spans="1:141" ht="16.2" thickBot="1" x14ac:dyDescent="0.35">
      <c r="C21" s="149" t="s">
        <v>737</v>
      </c>
      <c r="D21" s="1214">
        <v>0.32634660207039301</v>
      </c>
      <c r="E21" s="151">
        <f>E11*D21</f>
        <v>5975319956.9089651</v>
      </c>
      <c r="F21" s="1092">
        <v>0.3</v>
      </c>
      <c r="G21" s="151">
        <f>E21*F21</f>
        <v>1792595987.0726895</v>
      </c>
      <c r="H21" s="465">
        <v>1</v>
      </c>
      <c r="I21" s="151">
        <f>G21*H21</f>
        <v>1792595987.0726895</v>
      </c>
      <c r="J21" s="465">
        <v>1</v>
      </c>
      <c r="K21" s="444">
        <f>I21*J21</f>
        <v>1792595987.0726895</v>
      </c>
      <c r="L21" s="152">
        <f>H21</f>
        <v>1</v>
      </c>
      <c r="M21" s="444">
        <f>K21*L21</f>
        <v>1792595987.0726895</v>
      </c>
      <c r="N21" s="152">
        <f>J21</f>
        <v>1</v>
      </c>
      <c r="O21" s="444">
        <f>M21*N21</f>
        <v>1792595987.0726895</v>
      </c>
      <c r="P21" s="152">
        <f>L21</f>
        <v>1</v>
      </c>
      <c r="Q21" s="444">
        <f>O21*P21</f>
        <v>1792595987.0726895</v>
      </c>
      <c r="R21" s="152">
        <f>N21</f>
        <v>1</v>
      </c>
      <c r="S21" s="444">
        <f>Q21*R21</f>
        <v>1792595987.0726895</v>
      </c>
      <c r="T21" s="152">
        <f>P21</f>
        <v>1</v>
      </c>
      <c r="U21" s="444">
        <f>S21*T21</f>
        <v>1792595987.0726895</v>
      </c>
      <c r="V21" s="152">
        <f>R21</f>
        <v>1</v>
      </c>
      <c r="W21" s="444">
        <f>U21*V21</f>
        <v>1792595987.0726895</v>
      </c>
      <c r="X21" s="152">
        <f>T21</f>
        <v>1</v>
      </c>
      <c r="Y21" s="444">
        <f>W21*X21</f>
        <v>1792595987.0726895</v>
      </c>
      <c r="Z21" s="152">
        <f>V21</f>
        <v>1</v>
      </c>
      <c r="AA21" s="444">
        <f>Y21*Z21</f>
        <v>1792595987.0726895</v>
      </c>
      <c r="AB21" s="152">
        <f>X21</f>
        <v>1</v>
      </c>
      <c r="AC21" s="444">
        <f>AA21*AB21</f>
        <v>1792595987.0726895</v>
      </c>
      <c r="AD21" s="152">
        <f>Z21</f>
        <v>1</v>
      </c>
      <c r="AE21" s="444">
        <f>AC21*AD21</f>
        <v>1792595987.0726895</v>
      </c>
      <c r="AF21" s="152">
        <f>AB21</f>
        <v>1</v>
      </c>
      <c r="AG21" s="444">
        <f>AE21*AF21</f>
        <v>1792595987.0726895</v>
      </c>
      <c r="AH21" s="152">
        <f>AD21</f>
        <v>1</v>
      </c>
      <c r="AI21" s="444">
        <f>AG21*AH21</f>
        <v>1792595987.0726895</v>
      </c>
      <c r="AJ21" s="152">
        <f>AF21</f>
        <v>1</v>
      </c>
      <c r="AK21" s="444">
        <f>AI21*AJ21</f>
        <v>1792595987.0726895</v>
      </c>
      <c r="AL21" s="152">
        <f>AH21</f>
        <v>1</v>
      </c>
      <c r="AM21" s="444">
        <f>AK21*AL21</f>
        <v>1792595987.0726895</v>
      </c>
      <c r="AN21" s="152">
        <f>AJ21</f>
        <v>1</v>
      </c>
      <c r="AO21" s="444">
        <f>AM21*AN21</f>
        <v>1792595987.0726895</v>
      </c>
      <c r="AP21" s="152">
        <f>AL21</f>
        <v>1</v>
      </c>
      <c r="AQ21" s="444">
        <f>AO21*AP21</f>
        <v>1792595987.0726895</v>
      </c>
      <c r="AR21" s="152">
        <f>AN21</f>
        <v>1</v>
      </c>
      <c r="AS21" s="444">
        <f>AQ21*AR21</f>
        <v>1792595987.0726895</v>
      </c>
      <c r="AT21" s="152">
        <f>AP21</f>
        <v>1</v>
      </c>
      <c r="AU21" s="444">
        <f>AS21*AT21</f>
        <v>1792595987.0726895</v>
      </c>
      <c r="AV21" s="152">
        <f>AR21</f>
        <v>1</v>
      </c>
      <c r="AW21" s="444">
        <f>AU21*AV21</f>
        <v>1792595987.0726895</v>
      </c>
      <c r="AX21" s="152">
        <f>AT21</f>
        <v>1</v>
      </c>
      <c r="AY21" s="444">
        <f>AW21*AX21</f>
        <v>1792595987.0726895</v>
      </c>
      <c r="AZ21" s="152">
        <f>AV21</f>
        <v>1</v>
      </c>
      <c r="BA21" s="444">
        <f>AY21*AZ21</f>
        <v>1792595987.0726895</v>
      </c>
      <c r="BB21" s="152">
        <f>AX21</f>
        <v>1</v>
      </c>
      <c r="BC21" s="444">
        <f>BA21*BB21</f>
        <v>1792595987.0726895</v>
      </c>
      <c r="BD21" s="152">
        <f>AR21</f>
        <v>1</v>
      </c>
      <c r="BE21" s="444">
        <f>BC21*BD21</f>
        <v>1792595987.0726895</v>
      </c>
      <c r="BF21" s="152">
        <f>AT21</f>
        <v>1</v>
      </c>
      <c r="BG21" s="444">
        <f>BE21*BF21</f>
        <v>1792595987.0726895</v>
      </c>
      <c r="BH21" s="152">
        <f>BD21</f>
        <v>1</v>
      </c>
      <c r="BI21" s="444">
        <f>BG21*BH21</f>
        <v>1792595987.0726895</v>
      </c>
      <c r="BJ21" s="152">
        <f>BF21</f>
        <v>1</v>
      </c>
      <c r="BK21" s="444">
        <f>BI21*BJ21</f>
        <v>1792595987.0726895</v>
      </c>
      <c r="BL21" s="152">
        <f>BH21</f>
        <v>1</v>
      </c>
      <c r="BM21" s="444">
        <f>BK21*BL21</f>
        <v>1792595987.0726895</v>
      </c>
      <c r="BN21" s="152">
        <f>BJ21</f>
        <v>1</v>
      </c>
      <c r="BO21" s="444">
        <f>BM21*BN21</f>
        <v>1792595987.0726895</v>
      </c>
      <c r="BP21" s="152">
        <f>BL21</f>
        <v>1</v>
      </c>
      <c r="BQ21" s="444">
        <f>BO21*BP21</f>
        <v>1792595987.0726895</v>
      </c>
      <c r="BR21" s="152">
        <f>BN21</f>
        <v>1</v>
      </c>
      <c r="BS21" s="444">
        <f>BQ21*BR21</f>
        <v>1792595987.0726895</v>
      </c>
      <c r="BT21" s="152">
        <f>BP21</f>
        <v>1</v>
      </c>
      <c r="BU21" s="444">
        <f>BS21*BT21</f>
        <v>1792595987.0726895</v>
      </c>
      <c r="BV21" s="152">
        <f>BR21</f>
        <v>1</v>
      </c>
      <c r="BW21" s="444">
        <f>BU21*BV21</f>
        <v>1792595987.0726895</v>
      </c>
      <c r="BX21" s="152">
        <f>BT21</f>
        <v>1</v>
      </c>
      <c r="BY21" s="444">
        <f>BW21*BX21</f>
        <v>1792595987.0726895</v>
      </c>
      <c r="BZ21" s="152">
        <f>BV21</f>
        <v>1</v>
      </c>
      <c r="CA21" s="444">
        <f>BY21*BZ21</f>
        <v>1792595987.0726895</v>
      </c>
      <c r="CB21" s="152">
        <f>BX21</f>
        <v>1</v>
      </c>
      <c r="CC21" s="444">
        <f>CA21*CB21</f>
        <v>1792595987.0726895</v>
      </c>
      <c r="CD21" s="152">
        <f>BZ21</f>
        <v>1</v>
      </c>
      <c r="CE21" s="444">
        <f>CC21*CD21</f>
        <v>1792595987.0726895</v>
      </c>
      <c r="CF21" s="152">
        <f>CB21</f>
        <v>1</v>
      </c>
      <c r="CG21" s="444">
        <f>CE21*CF21</f>
        <v>1792595987.0726895</v>
      </c>
      <c r="CH21" s="152">
        <f>CD21</f>
        <v>1</v>
      </c>
      <c r="CI21" s="444">
        <f>CG21*CH21</f>
        <v>1792595987.0726895</v>
      </c>
      <c r="CJ21" s="152">
        <f>BX21</f>
        <v>1</v>
      </c>
      <c r="CK21" s="444">
        <f>CI21*CJ21</f>
        <v>1792595987.0726895</v>
      </c>
      <c r="CL21" s="152">
        <f>BZ21</f>
        <v>1</v>
      </c>
      <c r="CM21" s="444">
        <f>CK21*CL21</f>
        <v>1792595987.0726895</v>
      </c>
      <c r="CN21" s="152">
        <f>CJ21</f>
        <v>1</v>
      </c>
      <c r="CO21" s="444">
        <f>CM21*CN21</f>
        <v>1792595987.0726895</v>
      </c>
      <c r="CP21" s="152">
        <f>CL21</f>
        <v>1</v>
      </c>
      <c r="CQ21" s="444">
        <f>CO21*CP21</f>
        <v>1792595987.0726895</v>
      </c>
      <c r="CR21" s="152">
        <f>AB21</f>
        <v>1</v>
      </c>
      <c r="CS21" s="444">
        <f>CQ21*CR21</f>
        <v>1792595987.0726895</v>
      </c>
      <c r="CT21" s="152">
        <f>AD21</f>
        <v>1</v>
      </c>
      <c r="CU21" s="444">
        <f>CS21*CT21</f>
        <v>1792595987.0726895</v>
      </c>
      <c r="CV21" s="152">
        <f>CR21</f>
        <v>1</v>
      </c>
      <c r="CW21" s="444">
        <f>CU21*CV21</f>
        <v>1792595987.0726895</v>
      </c>
      <c r="CX21" s="152">
        <f>CT21</f>
        <v>1</v>
      </c>
      <c r="CY21" s="444">
        <f>CW21*CX21</f>
        <v>1792595987.0726895</v>
      </c>
      <c r="CZ21" s="719">
        <f>G21+I21+M21+Q21+U21+Y21+AC21+AG21+AK21+AO21+AS21+AW21+BA21+BE21+BI21+BM21+BQ21+BU21+BY21+CC21+CG21+CK21+CO21+CS21+CW21</f>
        <v>44814899676.817253</v>
      </c>
      <c r="DB21" s="594">
        <f>CV21</f>
        <v>1</v>
      </c>
      <c r="DC21" s="444">
        <f>CY21*DB21</f>
        <v>1792595987.0726895</v>
      </c>
      <c r="DD21" s="623"/>
      <c r="DE21" s="624"/>
      <c r="DF21" s="628"/>
      <c r="DI21" s="473"/>
      <c r="DY21" s="976"/>
      <c r="DZ21" s="976"/>
      <c r="EI21" s="913"/>
    </row>
    <row r="22" spans="1:141"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142"/>
      <c r="BQ22" s="449" t="s">
        <v>738</v>
      </c>
      <c r="BR22" s="433"/>
      <c r="BS22" s="434"/>
      <c r="BT22" s="142"/>
      <c r="BU22" s="449" t="s">
        <v>738</v>
      </c>
      <c r="BV22" s="433"/>
      <c r="BW22" s="434"/>
      <c r="BX22" s="142"/>
      <c r="BY22" s="449" t="s">
        <v>738</v>
      </c>
      <c r="BZ22" s="433"/>
      <c r="CA22" s="434"/>
      <c r="CB22" s="142"/>
      <c r="CC22" s="449" t="s">
        <v>738</v>
      </c>
      <c r="CD22" s="433"/>
      <c r="CE22" s="434"/>
      <c r="CF22" s="142"/>
      <c r="CG22" s="449" t="s">
        <v>738</v>
      </c>
      <c r="CH22" s="433"/>
      <c r="CI22" s="434"/>
      <c r="CJ22" s="142"/>
      <c r="CK22" s="449" t="s">
        <v>738</v>
      </c>
      <c r="CL22" s="433"/>
      <c r="CM22" s="434"/>
      <c r="CN22" s="142"/>
      <c r="CO22" s="449" t="s">
        <v>738</v>
      </c>
      <c r="CP22" s="433"/>
      <c r="CQ22" s="434"/>
      <c r="CR22" s="142"/>
      <c r="CS22" s="449" t="s">
        <v>738</v>
      </c>
      <c r="CT22" s="433"/>
      <c r="CU22" s="434"/>
      <c r="CV22" s="437"/>
      <c r="CW22" s="449" t="s">
        <v>738</v>
      </c>
      <c r="CX22" s="433"/>
      <c r="CY22" s="434"/>
      <c r="CZ22" s="180"/>
      <c r="DB22" s="437"/>
      <c r="DC22" s="449" t="s">
        <v>738</v>
      </c>
      <c r="DD22" s="623"/>
      <c r="DE22" s="623"/>
      <c r="DF22" s="628"/>
      <c r="DI22" s="473"/>
      <c r="DP22" s="1" t="s">
        <v>955</v>
      </c>
      <c r="DT22" s="581" t="s">
        <v>964</v>
      </c>
      <c r="DU22" s="75"/>
      <c r="DV22" s="75"/>
      <c r="DW22" s="986"/>
      <c r="DX22" s="896"/>
      <c r="DY22" s="980"/>
      <c r="DZ22" s="980"/>
      <c r="EA22" s="75"/>
      <c r="EC22" s="75"/>
      <c r="ED22" s="76"/>
      <c r="EE22" s="75"/>
      <c r="EF22" s="76">
        <f>EF31</f>
        <v>1372242051.072</v>
      </c>
      <c r="EG22" s="75"/>
      <c r="EH22" s="910"/>
      <c r="EI22" s="304"/>
    </row>
    <row r="23" spans="1:141" ht="16.2" thickBot="1" x14ac:dyDescent="0.35">
      <c r="C23" s="141"/>
      <c r="D23" s="94">
        <f>SUM(D14:D21)</f>
        <v>1</v>
      </c>
      <c r="E23" s="371"/>
      <c r="F23" s="1093">
        <v>0.25</v>
      </c>
      <c r="G23" s="432">
        <f>E21*F23</f>
        <v>1493829989.2272413</v>
      </c>
      <c r="H23" s="466">
        <v>1</v>
      </c>
      <c r="I23" s="432">
        <f>G23*H23</f>
        <v>1493829989.2272413</v>
      </c>
      <c r="J23" s="466">
        <v>1</v>
      </c>
      <c r="K23" s="449">
        <f>I23*J23</f>
        <v>1493829989.2272413</v>
      </c>
      <c r="L23" s="430">
        <f>H23</f>
        <v>1</v>
      </c>
      <c r="M23" s="449">
        <f>K23*L23</f>
        <v>1493829989.2272413</v>
      </c>
      <c r="N23" s="430">
        <f>J23</f>
        <v>1</v>
      </c>
      <c r="O23" s="449">
        <f>M23*N23</f>
        <v>1493829989.2272413</v>
      </c>
      <c r="P23" s="430">
        <f>L23</f>
        <v>1</v>
      </c>
      <c r="Q23" s="449">
        <f>O23*P23</f>
        <v>1493829989.2272413</v>
      </c>
      <c r="R23" s="430">
        <f>N23</f>
        <v>1</v>
      </c>
      <c r="S23" s="449">
        <f>Q23*R23</f>
        <v>1493829989.2272413</v>
      </c>
      <c r="T23" s="430">
        <f>P23</f>
        <v>1</v>
      </c>
      <c r="U23" s="449">
        <f>S23*T23</f>
        <v>1493829989.2272413</v>
      </c>
      <c r="V23" s="430">
        <f>R23</f>
        <v>1</v>
      </c>
      <c r="W23" s="449">
        <f>U23*V23</f>
        <v>1493829989.2272413</v>
      </c>
      <c r="X23" s="430">
        <f>T23</f>
        <v>1</v>
      </c>
      <c r="Y23" s="449">
        <f>W23*X23</f>
        <v>1493829989.2272413</v>
      </c>
      <c r="Z23" s="430">
        <f>V23</f>
        <v>1</v>
      </c>
      <c r="AA23" s="449">
        <f>Y23*Z23</f>
        <v>1493829989.2272413</v>
      </c>
      <c r="AB23" s="430">
        <f>X23</f>
        <v>1</v>
      </c>
      <c r="AC23" s="449">
        <f>AA23*AB23</f>
        <v>1493829989.2272413</v>
      </c>
      <c r="AD23" s="430">
        <f>Z23</f>
        <v>1</v>
      </c>
      <c r="AE23" s="449">
        <f>AC23*AD23</f>
        <v>1493829989.2272413</v>
      </c>
      <c r="AF23" s="430">
        <f>AB23</f>
        <v>1</v>
      </c>
      <c r="AG23" s="449">
        <f>AE23*AF23</f>
        <v>1493829989.2272413</v>
      </c>
      <c r="AH23" s="430">
        <f>AD23</f>
        <v>1</v>
      </c>
      <c r="AI23" s="449">
        <f>AG23*AH23</f>
        <v>1493829989.2272413</v>
      </c>
      <c r="AJ23" s="430">
        <f>AF23</f>
        <v>1</v>
      </c>
      <c r="AK23" s="449">
        <f>AI23*AJ23</f>
        <v>1493829989.2272413</v>
      </c>
      <c r="AL23" s="430">
        <f>AH23</f>
        <v>1</v>
      </c>
      <c r="AM23" s="449">
        <f>AK23*AL23</f>
        <v>1493829989.2272413</v>
      </c>
      <c r="AN23" s="430">
        <f>AJ23</f>
        <v>1</v>
      </c>
      <c r="AO23" s="449">
        <f>AM23*AN23</f>
        <v>1493829989.2272413</v>
      </c>
      <c r="AP23" s="430">
        <f>AL23</f>
        <v>1</v>
      </c>
      <c r="AQ23" s="449">
        <f>AO23*AP23</f>
        <v>1493829989.2272413</v>
      </c>
      <c r="AR23" s="430">
        <f>AN23</f>
        <v>1</v>
      </c>
      <c r="AS23" s="449">
        <f>AQ23*AR23</f>
        <v>1493829989.2272413</v>
      </c>
      <c r="AT23" s="430">
        <f>AP23</f>
        <v>1</v>
      </c>
      <c r="AU23" s="449">
        <f>AS23*AT23</f>
        <v>1493829989.2272413</v>
      </c>
      <c r="AV23" s="430">
        <f>AR23</f>
        <v>1</v>
      </c>
      <c r="AW23" s="449">
        <f>AU23*AV23</f>
        <v>1493829989.2272413</v>
      </c>
      <c r="AX23" s="430">
        <f>AT23</f>
        <v>1</v>
      </c>
      <c r="AY23" s="449">
        <f>AW23*AX23</f>
        <v>1493829989.2272413</v>
      </c>
      <c r="AZ23" s="430">
        <f>AV23</f>
        <v>1</v>
      </c>
      <c r="BA23" s="449">
        <f>AY23*AZ23</f>
        <v>1493829989.2272413</v>
      </c>
      <c r="BB23" s="430">
        <f>AX23</f>
        <v>1</v>
      </c>
      <c r="BC23" s="449">
        <f>BA23*BB23</f>
        <v>1493829989.2272413</v>
      </c>
      <c r="BD23" s="430">
        <f>AR23</f>
        <v>1</v>
      </c>
      <c r="BE23" s="449">
        <f>BC23*BD23</f>
        <v>1493829989.2272413</v>
      </c>
      <c r="BF23" s="430">
        <f>AT23</f>
        <v>1</v>
      </c>
      <c r="BG23" s="449">
        <f>BE23*BF23</f>
        <v>1493829989.2272413</v>
      </c>
      <c r="BH23" s="430">
        <f>BD23</f>
        <v>1</v>
      </c>
      <c r="BI23" s="449">
        <f>BG23*BH23</f>
        <v>1493829989.2272413</v>
      </c>
      <c r="BJ23" s="430">
        <f>BF23</f>
        <v>1</v>
      </c>
      <c r="BK23" s="449">
        <f>BI23*BJ23</f>
        <v>1493829989.2272413</v>
      </c>
      <c r="BL23" s="430">
        <f>BH23</f>
        <v>1</v>
      </c>
      <c r="BM23" s="449">
        <f>BK23*BL23</f>
        <v>1493829989.2272413</v>
      </c>
      <c r="BN23" s="430">
        <f>BJ23</f>
        <v>1</v>
      </c>
      <c r="BO23" s="449">
        <f>BM23*BN23</f>
        <v>1493829989.2272413</v>
      </c>
      <c r="BP23" s="430">
        <f>BL23</f>
        <v>1</v>
      </c>
      <c r="BQ23" s="449">
        <f>BO23*BP23</f>
        <v>1493829989.2272413</v>
      </c>
      <c r="BR23" s="430">
        <f>BN23</f>
        <v>1</v>
      </c>
      <c r="BS23" s="449">
        <f>BQ23*BR23</f>
        <v>1493829989.2272413</v>
      </c>
      <c r="BT23" s="430">
        <f>BP23</f>
        <v>1</v>
      </c>
      <c r="BU23" s="449">
        <f>BS23*BT23</f>
        <v>1493829989.2272413</v>
      </c>
      <c r="BV23" s="430">
        <f>BR23</f>
        <v>1</v>
      </c>
      <c r="BW23" s="449">
        <f>BU23*BV23</f>
        <v>1493829989.2272413</v>
      </c>
      <c r="BX23" s="430">
        <f>BT23</f>
        <v>1</v>
      </c>
      <c r="BY23" s="449">
        <f>BW23*BX23</f>
        <v>1493829989.2272413</v>
      </c>
      <c r="BZ23" s="430">
        <f>BV23</f>
        <v>1</v>
      </c>
      <c r="CA23" s="449">
        <f>BY23*BZ23</f>
        <v>1493829989.2272413</v>
      </c>
      <c r="CB23" s="430">
        <f>BX23</f>
        <v>1</v>
      </c>
      <c r="CC23" s="449">
        <f>CA23*CB23</f>
        <v>1493829989.2272413</v>
      </c>
      <c r="CD23" s="430">
        <f>BZ23</f>
        <v>1</v>
      </c>
      <c r="CE23" s="449">
        <f>CC23*CD23</f>
        <v>1493829989.2272413</v>
      </c>
      <c r="CF23" s="430">
        <f>CB23</f>
        <v>1</v>
      </c>
      <c r="CG23" s="449">
        <f>CE23*CF23</f>
        <v>1493829989.2272413</v>
      </c>
      <c r="CH23" s="430">
        <f>CD23</f>
        <v>1</v>
      </c>
      <c r="CI23" s="449">
        <f>CG23*CH23</f>
        <v>1493829989.2272413</v>
      </c>
      <c r="CJ23" s="430">
        <f>BX23</f>
        <v>1</v>
      </c>
      <c r="CK23" s="449">
        <f>CI23*CJ23</f>
        <v>1493829989.2272413</v>
      </c>
      <c r="CL23" s="430">
        <f>BZ23</f>
        <v>1</v>
      </c>
      <c r="CM23" s="449">
        <f>CK23*CL23</f>
        <v>1493829989.2272413</v>
      </c>
      <c r="CN23" s="430">
        <f>CJ23</f>
        <v>1</v>
      </c>
      <c r="CO23" s="449">
        <f>CM23*CN23</f>
        <v>1493829989.2272413</v>
      </c>
      <c r="CP23" s="430">
        <f>CL23</f>
        <v>1</v>
      </c>
      <c r="CQ23" s="449">
        <f>CO23*CP23</f>
        <v>1493829989.2272413</v>
      </c>
      <c r="CR23" s="430">
        <f>AB23</f>
        <v>1</v>
      </c>
      <c r="CS23" s="449">
        <f>CQ23*CR23</f>
        <v>1493829989.2272413</v>
      </c>
      <c r="CT23" s="430">
        <f>AD23</f>
        <v>1</v>
      </c>
      <c r="CU23" s="449">
        <f>CS23*CT23</f>
        <v>1493829989.2272413</v>
      </c>
      <c r="CV23" s="430">
        <f>CR23</f>
        <v>1</v>
      </c>
      <c r="CW23" s="449">
        <f>CU23*CV23</f>
        <v>1493829989.2272413</v>
      </c>
      <c r="CX23" s="430">
        <f>CT23</f>
        <v>1</v>
      </c>
      <c r="CY23" s="449">
        <f>CW23*CX23</f>
        <v>1493829989.2272413</v>
      </c>
      <c r="CZ23" s="719">
        <f>G23+I23+M23+Q23+U23+Y23+AC23+AG23+AK23+AO23+AS23+AW23+BA23+BE23+BI23+BM23+BQ23+BU23+BY23+CC23+CG23+CK23+CO23+CS23+CW23</f>
        <v>37345749730.68103</v>
      </c>
      <c r="DB23" s="595">
        <f>CV23</f>
        <v>1</v>
      </c>
      <c r="DC23" s="449">
        <f>CY23*DB23</f>
        <v>1493829989.2272413</v>
      </c>
      <c r="DD23" s="623"/>
      <c r="DE23" s="624"/>
      <c r="DF23" s="628"/>
      <c r="DI23" s="473"/>
      <c r="DN23" s="982" t="s">
        <v>989</v>
      </c>
      <c r="DO23" s="983">
        <v>2016</v>
      </c>
      <c r="DP23" s="910">
        <v>75543543000000</v>
      </c>
      <c r="DQ23" s="984">
        <v>2.5000000000000001E-2</v>
      </c>
      <c r="DR23" s="910">
        <f>DP23*DQ23</f>
        <v>1888588575000</v>
      </c>
      <c r="DT23" s="75"/>
      <c r="DU23" s="968">
        <v>2016</v>
      </c>
      <c r="DV23" s="305">
        <f>DV20</f>
        <v>10737418.24</v>
      </c>
      <c r="DW23" s="986">
        <v>64</v>
      </c>
      <c r="DX23" s="411">
        <f t="shared" ref="DX23:DX35" si="0">DW23*DV23</f>
        <v>687194767.36000001</v>
      </c>
      <c r="DY23" s="980"/>
      <c r="DZ23" s="980"/>
      <c r="EA23" s="305">
        <f t="shared" ref="EA23:EA35" si="1">DX23*DY23</f>
        <v>0</v>
      </c>
      <c r="EC23" s="75"/>
      <c r="ED23" s="76"/>
      <c r="EE23" s="75"/>
      <c r="EF23" s="953">
        <v>25000</v>
      </c>
      <c r="EG23" s="968" t="s">
        <v>1349</v>
      </c>
      <c r="EH23" s="910"/>
      <c r="EI23" s="981">
        <v>2016</v>
      </c>
    </row>
    <row r="24" spans="1:141"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7"/>
      <c r="BQ24" s="448" t="s">
        <v>294</v>
      </c>
      <c r="BR24" s="122"/>
      <c r="BS24" s="8"/>
      <c r="BT24" s="7"/>
      <c r="BU24" s="448" t="s">
        <v>294</v>
      </c>
      <c r="BV24" s="122"/>
      <c r="BW24" s="8"/>
      <c r="BX24" s="7"/>
      <c r="BY24" s="448" t="s">
        <v>294</v>
      </c>
      <c r="BZ24" s="122"/>
      <c r="CA24" s="8"/>
      <c r="CB24" s="7"/>
      <c r="CC24" s="448" t="s">
        <v>294</v>
      </c>
      <c r="CD24" s="122"/>
      <c r="CE24" s="8"/>
      <c r="CF24" s="7"/>
      <c r="CG24" s="448" t="s">
        <v>294</v>
      </c>
      <c r="CH24" s="122"/>
      <c r="CI24" s="8"/>
      <c r="CJ24" s="7"/>
      <c r="CK24" s="448" t="s">
        <v>294</v>
      </c>
      <c r="CL24" s="122"/>
      <c r="CM24" s="8"/>
      <c r="CN24" s="7"/>
      <c r="CO24" s="448" t="s">
        <v>294</v>
      </c>
      <c r="CP24" s="122"/>
      <c r="CQ24" s="8"/>
      <c r="CR24" s="7"/>
      <c r="CS24" s="448" t="s">
        <v>294</v>
      </c>
      <c r="CT24" s="122"/>
      <c r="CU24" s="8"/>
      <c r="CV24" s="122"/>
      <c r="CW24" s="448" t="s">
        <v>294</v>
      </c>
      <c r="CX24" s="122"/>
      <c r="CY24" s="8"/>
      <c r="CZ24" s="126"/>
      <c r="DB24" s="122"/>
      <c r="DC24" s="448" t="s">
        <v>294</v>
      </c>
      <c r="DD24" s="623"/>
      <c r="DE24" s="623"/>
      <c r="DF24" s="628"/>
      <c r="DI24" s="473"/>
      <c r="DN24" s="982" t="s">
        <v>989</v>
      </c>
      <c r="DO24" s="983">
        <f>DO23+1</f>
        <v>2017</v>
      </c>
      <c r="DP24" s="910">
        <f>DP23+DR23</f>
        <v>77432131575000</v>
      </c>
      <c r="DQ24" s="985">
        <f>DQ23</f>
        <v>2.5000000000000001E-2</v>
      </c>
      <c r="DR24" s="910">
        <f>DP24*DQ24</f>
        <v>1935803289375</v>
      </c>
      <c r="DT24" s="75"/>
      <c r="DU24" s="968">
        <f>DU23+1</f>
        <v>2017</v>
      </c>
      <c r="DV24" s="305">
        <f>DV20</f>
        <v>10737418.24</v>
      </c>
      <c r="DW24" s="986">
        <v>64</v>
      </c>
      <c r="DX24" s="411">
        <f t="shared" si="0"/>
        <v>687194767.36000001</v>
      </c>
      <c r="DY24" s="980"/>
      <c r="DZ24" s="980"/>
      <c r="EA24" s="305">
        <f t="shared" si="1"/>
        <v>0</v>
      </c>
      <c r="EC24" s="75"/>
      <c r="ED24" s="76"/>
      <c r="EE24" s="75"/>
      <c r="EF24" s="76">
        <f>EF22/EF23</f>
        <v>54889.682042879998</v>
      </c>
      <c r="EG24" s="75"/>
      <c r="EH24" s="910"/>
      <c r="EI24" s="981">
        <f>EI23+1</f>
        <v>2017</v>
      </c>
    </row>
    <row r="25" spans="1:141" ht="16.2" thickBot="1" x14ac:dyDescent="0.35">
      <c r="C25" s="122"/>
      <c r="D25" s="573" t="s">
        <v>1367</v>
      </c>
      <c r="E25" s="7"/>
      <c r="F25" s="1094">
        <v>0.2</v>
      </c>
      <c r="G25" s="99">
        <f>E21*F25</f>
        <v>1195063991.381793</v>
      </c>
      <c r="H25" s="467">
        <v>1</v>
      </c>
      <c r="I25" s="99">
        <f>G25*H25</f>
        <v>1195063991.381793</v>
      </c>
      <c r="J25" s="467">
        <v>1</v>
      </c>
      <c r="K25" s="443">
        <f>I25*J25</f>
        <v>1195063991.381793</v>
      </c>
      <c r="L25" s="153">
        <f>H25</f>
        <v>1</v>
      </c>
      <c r="M25" s="443">
        <f>K25*L25</f>
        <v>1195063991.381793</v>
      </c>
      <c r="N25" s="153">
        <f>J25</f>
        <v>1</v>
      </c>
      <c r="O25" s="443">
        <f>M25*N25</f>
        <v>1195063991.381793</v>
      </c>
      <c r="P25" s="153">
        <f>L25</f>
        <v>1</v>
      </c>
      <c r="Q25" s="443">
        <f>O25*P25</f>
        <v>1195063991.381793</v>
      </c>
      <c r="R25" s="153">
        <f>N25</f>
        <v>1</v>
      </c>
      <c r="S25" s="443">
        <f>Q25*R25</f>
        <v>1195063991.381793</v>
      </c>
      <c r="T25" s="153">
        <f>P25</f>
        <v>1</v>
      </c>
      <c r="U25" s="443">
        <f>S25*T25</f>
        <v>1195063991.381793</v>
      </c>
      <c r="V25" s="153">
        <f>R25</f>
        <v>1</v>
      </c>
      <c r="W25" s="443">
        <f>U25*V25</f>
        <v>1195063991.381793</v>
      </c>
      <c r="X25" s="153">
        <f>T25</f>
        <v>1</v>
      </c>
      <c r="Y25" s="443">
        <f>W25*X25</f>
        <v>1195063991.381793</v>
      </c>
      <c r="Z25" s="153">
        <f>V25</f>
        <v>1</v>
      </c>
      <c r="AA25" s="443">
        <f>Y25*Z25</f>
        <v>1195063991.381793</v>
      </c>
      <c r="AB25" s="153">
        <f>X25</f>
        <v>1</v>
      </c>
      <c r="AC25" s="443">
        <f>AA25*AB25</f>
        <v>1195063991.381793</v>
      </c>
      <c r="AD25" s="153">
        <f>Z25</f>
        <v>1</v>
      </c>
      <c r="AE25" s="443">
        <f>AC25*AD25</f>
        <v>1195063991.381793</v>
      </c>
      <c r="AF25" s="153">
        <f>AB25</f>
        <v>1</v>
      </c>
      <c r="AG25" s="443">
        <f>AE25*AF25</f>
        <v>1195063991.381793</v>
      </c>
      <c r="AH25" s="153">
        <f>AD25</f>
        <v>1</v>
      </c>
      <c r="AI25" s="443">
        <f>AG25*AH25</f>
        <v>1195063991.381793</v>
      </c>
      <c r="AJ25" s="153">
        <f>AF25</f>
        <v>1</v>
      </c>
      <c r="AK25" s="443">
        <f>AI25*AJ25</f>
        <v>1195063991.381793</v>
      </c>
      <c r="AL25" s="153">
        <f>AH25</f>
        <v>1</v>
      </c>
      <c r="AM25" s="443">
        <f>AK25*AL25</f>
        <v>1195063991.381793</v>
      </c>
      <c r="AN25" s="153">
        <f>AJ25</f>
        <v>1</v>
      </c>
      <c r="AO25" s="443">
        <f>AM25*AN25</f>
        <v>1195063991.381793</v>
      </c>
      <c r="AP25" s="153">
        <f>AL25</f>
        <v>1</v>
      </c>
      <c r="AQ25" s="443">
        <f>AO25*AP25</f>
        <v>1195063991.381793</v>
      </c>
      <c r="AR25" s="153">
        <f>AN25</f>
        <v>1</v>
      </c>
      <c r="AS25" s="443">
        <f>AQ25*AR25</f>
        <v>1195063991.381793</v>
      </c>
      <c r="AT25" s="153">
        <f>AP25</f>
        <v>1</v>
      </c>
      <c r="AU25" s="443">
        <f>AS25*AT25</f>
        <v>1195063991.381793</v>
      </c>
      <c r="AV25" s="153">
        <f>AR25</f>
        <v>1</v>
      </c>
      <c r="AW25" s="443">
        <f>AU25*AV25</f>
        <v>1195063991.381793</v>
      </c>
      <c r="AX25" s="153">
        <f>AT25</f>
        <v>1</v>
      </c>
      <c r="AY25" s="443">
        <f>AW25*AX25</f>
        <v>1195063991.381793</v>
      </c>
      <c r="AZ25" s="153">
        <f>AV25</f>
        <v>1</v>
      </c>
      <c r="BA25" s="443">
        <f>AY25*AZ25</f>
        <v>1195063991.381793</v>
      </c>
      <c r="BB25" s="153">
        <f>AX25</f>
        <v>1</v>
      </c>
      <c r="BC25" s="443">
        <f>BA25*BB25</f>
        <v>1195063991.381793</v>
      </c>
      <c r="BD25" s="153">
        <f>AR25</f>
        <v>1</v>
      </c>
      <c r="BE25" s="443">
        <f>BC25*BD25</f>
        <v>1195063991.381793</v>
      </c>
      <c r="BF25" s="153">
        <f>AT25</f>
        <v>1</v>
      </c>
      <c r="BG25" s="443">
        <f>BE25*BF25</f>
        <v>1195063991.381793</v>
      </c>
      <c r="BH25" s="153">
        <f>BD25</f>
        <v>1</v>
      </c>
      <c r="BI25" s="443">
        <f>BG25*BH25</f>
        <v>1195063991.381793</v>
      </c>
      <c r="BJ25" s="153">
        <f>BF25</f>
        <v>1</v>
      </c>
      <c r="BK25" s="443">
        <f>BI25*BJ25</f>
        <v>1195063991.381793</v>
      </c>
      <c r="BL25" s="153">
        <f>BH25</f>
        <v>1</v>
      </c>
      <c r="BM25" s="443">
        <f>BK25*BL25</f>
        <v>1195063991.381793</v>
      </c>
      <c r="BN25" s="153">
        <f>BJ25</f>
        <v>1</v>
      </c>
      <c r="BO25" s="443">
        <f>BM25*BN25</f>
        <v>1195063991.381793</v>
      </c>
      <c r="BP25" s="153">
        <f>BL25</f>
        <v>1</v>
      </c>
      <c r="BQ25" s="443">
        <f>BO25*BP25</f>
        <v>1195063991.381793</v>
      </c>
      <c r="BR25" s="153">
        <f>BN25</f>
        <v>1</v>
      </c>
      <c r="BS25" s="443">
        <f>BQ25*BR25</f>
        <v>1195063991.381793</v>
      </c>
      <c r="BT25" s="153">
        <f>BP25</f>
        <v>1</v>
      </c>
      <c r="BU25" s="443">
        <f>BS25*BT25</f>
        <v>1195063991.381793</v>
      </c>
      <c r="BV25" s="153">
        <f>BR25</f>
        <v>1</v>
      </c>
      <c r="BW25" s="443">
        <f>BU25*BV25</f>
        <v>1195063991.381793</v>
      </c>
      <c r="BX25" s="153">
        <f>BT25</f>
        <v>1</v>
      </c>
      <c r="BY25" s="443">
        <f>BW25*BX25</f>
        <v>1195063991.381793</v>
      </c>
      <c r="BZ25" s="153">
        <f>BV25</f>
        <v>1</v>
      </c>
      <c r="CA25" s="443">
        <f>BY25*BZ25</f>
        <v>1195063991.381793</v>
      </c>
      <c r="CB25" s="153">
        <f>BX25</f>
        <v>1</v>
      </c>
      <c r="CC25" s="443">
        <f>CA25*CB25</f>
        <v>1195063991.381793</v>
      </c>
      <c r="CD25" s="153">
        <f>BZ25</f>
        <v>1</v>
      </c>
      <c r="CE25" s="443">
        <f>CC25*CD25</f>
        <v>1195063991.381793</v>
      </c>
      <c r="CF25" s="153">
        <f>CB25</f>
        <v>1</v>
      </c>
      <c r="CG25" s="443">
        <f>CE25*CF25</f>
        <v>1195063991.381793</v>
      </c>
      <c r="CH25" s="153">
        <f>CD25</f>
        <v>1</v>
      </c>
      <c r="CI25" s="443">
        <f>CG25*CH25</f>
        <v>1195063991.381793</v>
      </c>
      <c r="CJ25" s="153">
        <f>BX25</f>
        <v>1</v>
      </c>
      <c r="CK25" s="443">
        <f>CI25*CJ25</f>
        <v>1195063991.381793</v>
      </c>
      <c r="CL25" s="153">
        <f>BZ25</f>
        <v>1</v>
      </c>
      <c r="CM25" s="443">
        <f>CK25*CL25</f>
        <v>1195063991.381793</v>
      </c>
      <c r="CN25" s="153">
        <f>CJ25</f>
        <v>1</v>
      </c>
      <c r="CO25" s="443">
        <f>CM25*CN25</f>
        <v>1195063991.381793</v>
      </c>
      <c r="CP25" s="153">
        <f>CL25</f>
        <v>1</v>
      </c>
      <c r="CQ25" s="443">
        <f>CO25*CP25</f>
        <v>1195063991.381793</v>
      </c>
      <c r="CR25" s="153">
        <f>AB25</f>
        <v>1</v>
      </c>
      <c r="CS25" s="443">
        <f>CQ25*CR25</f>
        <v>1195063991.381793</v>
      </c>
      <c r="CT25" s="153">
        <f>AD25</f>
        <v>1</v>
      </c>
      <c r="CU25" s="443">
        <f>CS25*CT25</f>
        <v>1195063991.381793</v>
      </c>
      <c r="CV25" s="153">
        <f>CR25</f>
        <v>1</v>
      </c>
      <c r="CW25" s="443">
        <f>CU25*CV25</f>
        <v>1195063991.381793</v>
      </c>
      <c r="CX25" s="153">
        <f>CT25</f>
        <v>1</v>
      </c>
      <c r="CY25" s="443">
        <f>CW25*CX25</f>
        <v>1195063991.381793</v>
      </c>
      <c r="CZ25" s="719">
        <f>G25+I25+M25+Q25+U25+Y25+AC25+AG25+AK25+AO25+AS25+AW25+BA25+BE25+BI25+BM25+BQ25+BU25+BY25+CC25+CG25+CK25+CO25+CS25+CW25</f>
        <v>29876599784.544842</v>
      </c>
      <c r="DB25" s="596">
        <f>CV25</f>
        <v>1</v>
      </c>
      <c r="DC25" s="443">
        <f>CY25*DB25</f>
        <v>1195063991.381793</v>
      </c>
      <c r="DD25" s="623"/>
      <c r="DE25" s="624"/>
      <c r="DF25" s="628"/>
      <c r="DI25" s="473"/>
      <c r="DN25" s="982" t="s">
        <v>989</v>
      </c>
      <c r="DO25" s="983">
        <f t="shared" ref="DO25:DO35" si="2">DO24+1</f>
        <v>2018</v>
      </c>
      <c r="DP25" s="910">
        <f t="shared" ref="DP25:DP35" si="3">DP24+DR24</f>
        <v>79367934864375</v>
      </c>
      <c r="DQ25" s="985">
        <f t="shared" ref="DQ25:DQ35" si="4">DQ24</f>
        <v>2.5000000000000001E-2</v>
      </c>
      <c r="DR25" s="910">
        <f t="shared" ref="DR25:DR35" si="5">DP25*DQ25</f>
        <v>1984198371609.375</v>
      </c>
      <c r="DT25" s="75"/>
      <c r="DU25" s="968">
        <f t="shared" ref="DU25:DU35" si="6">DU24+1</f>
        <v>2018</v>
      </c>
      <c r="DV25" s="305">
        <f>DV20</f>
        <v>10737418.24</v>
      </c>
      <c r="DW25" s="986">
        <v>64</v>
      </c>
      <c r="DX25" s="411">
        <f t="shared" si="0"/>
        <v>687194767.36000001</v>
      </c>
      <c r="DY25" s="980">
        <v>2.5000000000000001E-2</v>
      </c>
      <c r="DZ25" s="980"/>
      <c r="EA25" s="305">
        <f t="shared" si="1"/>
        <v>17179869.184</v>
      </c>
      <c r="EB25" s="978" t="s">
        <v>1144</v>
      </c>
      <c r="EC25" s="305">
        <f t="shared" ref="EC25:EC55" si="7">EA25</f>
        <v>17179869.184</v>
      </c>
      <c r="ED25" s="691">
        <f t="shared" ref="ED25:ED35" si="8">EC25+ED24-EH25</f>
        <v>17179869.184</v>
      </c>
      <c r="EE25" s="893">
        <v>0.125</v>
      </c>
      <c r="EF25" s="973">
        <f>ED25*EE25</f>
        <v>2147483.648</v>
      </c>
      <c r="EG25" s="305">
        <f>CZ58</f>
        <v>8361523322.01966</v>
      </c>
      <c r="EH25" s="910">
        <f t="shared" ref="EH25:EH35" si="9">DX25*DZ25</f>
        <v>0</v>
      </c>
      <c r="EI25" s="981">
        <f t="shared" ref="EI25:EI55" si="10">EI24+1</f>
        <v>2018</v>
      </c>
    </row>
    <row r="26" spans="1:141"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7"/>
      <c r="BU26" s="452" t="s">
        <v>733</v>
      </c>
      <c r="BV26" s="122"/>
      <c r="BW26" s="8"/>
      <c r="BX26" s="7"/>
      <c r="BY26" s="452" t="s">
        <v>733</v>
      </c>
      <c r="BZ26" s="122"/>
      <c r="CA26" s="8"/>
      <c r="CB26" s="7"/>
      <c r="CC26" s="452" t="s">
        <v>733</v>
      </c>
      <c r="CD26" s="122"/>
      <c r="CE26" s="8"/>
      <c r="CF26" s="7"/>
      <c r="CG26" s="452" t="s">
        <v>733</v>
      </c>
      <c r="CH26" s="122"/>
      <c r="CI26" s="8"/>
      <c r="CJ26" s="7"/>
      <c r="CK26" s="452" t="s">
        <v>733</v>
      </c>
      <c r="CL26" s="122"/>
      <c r="CM26" s="8"/>
      <c r="CN26" s="7"/>
      <c r="CO26" s="452" t="s">
        <v>733</v>
      </c>
      <c r="CP26" s="122"/>
      <c r="CQ26" s="8"/>
      <c r="CR26" s="7"/>
      <c r="CS26" s="452" t="s">
        <v>733</v>
      </c>
      <c r="CT26" s="122"/>
      <c r="CU26" s="8"/>
      <c r="CV26" s="7"/>
      <c r="CW26" s="452" t="s">
        <v>733</v>
      </c>
      <c r="CX26" s="122"/>
      <c r="CY26" s="8"/>
      <c r="CZ26" s="126"/>
      <c r="DB26" s="122"/>
      <c r="DC26" s="452" t="s">
        <v>733</v>
      </c>
      <c r="DD26" s="623"/>
      <c r="DE26" s="623"/>
      <c r="DF26" s="628"/>
      <c r="DI26" s="473"/>
      <c r="DN26" s="982" t="s">
        <v>989</v>
      </c>
      <c r="DO26" s="983">
        <f t="shared" si="2"/>
        <v>2019</v>
      </c>
      <c r="DP26" s="910">
        <f t="shared" si="3"/>
        <v>81352133235984.375</v>
      </c>
      <c r="DQ26" s="985">
        <f t="shared" si="4"/>
        <v>2.5000000000000001E-2</v>
      </c>
      <c r="DR26" s="910">
        <f t="shared" si="5"/>
        <v>2033803330899.6094</v>
      </c>
      <c r="DT26" s="75"/>
      <c r="DU26" s="968">
        <f t="shared" si="6"/>
        <v>2019</v>
      </c>
      <c r="DV26" s="305">
        <f>DV20</f>
        <v>10737418.24</v>
      </c>
      <c r="DW26" s="986">
        <v>64</v>
      </c>
      <c r="DX26" s="411">
        <f t="shared" si="0"/>
        <v>687194767.36000001</v>
      </c>
      <c r="DY26" s="980">
        <v>0.2</v>
      </c>
      <c r="DZ26" s="980"/>
      <c r="EA26" s="305">
        <f t="shared" si="1"/>
        <v>137438953.472</v>
      </c>
      <c r="EB26" s="978" t="s">
        <v>1144</v>
      </c>
      <c r="EC26" s="305">
        <f t="shared" si="7"/>
        <v>137438953.472</v>
      </c>
      <c r="ED26" s="691">
        <f t="shared" si="8"/>
        <v>154618822.65600002</v>
      </c>
      <c r="EE26" s="893">
        <f>EE25</f>
        <v>0.125</v>
      </c>
      <c r="EF26" s="973">
        <f t="shared" ref="EF26:EF55" si="11">ED26*EE26</f>
        <v>19327352.832000002</v>
      </c>
      <c r="EG26" s="305">
        <f>EG25</f>
        <v>8361523322.01966</v>
      </c>
      <c r="EH26" s="910">
        <f t="shared" si="9"/>
        <v>0</v>
      </c>
      <c r="EI26" s="981">
        <f t="shared" si="10"/>
        <v>2019</v>
      </c>
    </row>
    <row r="27" spans="1:141" ht="19.2" thickBot="1" x14ac:dyDescent="0.5">
      <c r="C27" s="122"/>
      <c r="D27" s="574" t="s">
        <v>1369</v>
      </c>
      <c r="E27" s="7"/>
      <c r="F27" s="1096">
        <v>0.25</v>
      </c>
      <c r="G27" s="446">
        <f>E21*F27</f>
        <v>1493829989.2272413</v>
      </c>
      <c r="H27" s="447">
        <v>0.25</v>
      </c>
      <c r="I27" s="446">
        <f>G27*H27</f>
        <v>373457497.30681032</v>
      </c>
      <c r="J27" s="447">
        <v>1</v>
      </c>
      <c r="K27" s="439">
        <f>I27*J27</f>
        <v>373457497.30681032</v>
      </c>
      <c r="L27" s="438">
        <f>H27</f>
        <v>0.25</v>
      </c>
      <c r="M27" s="439">
        <f>K27*L27</f>
        <v>93364374.32670258</v>
      </c>
      <c r="N27" s="438">
        <f>J27</f>
        <v>1</v>
      </c>
      <c r="O27" s="439">
        <f>M27*N27</f>
        <v>93364374.32670258</v>
      </c>
      <c r="P27" s="438">
        <f>L27</f>
        <v>0.25</v>
      </c>
      <c r="Q27" s="439">
        <f>O27*P27</f>
        <v>23341093.581675645</v>
      </c>
      <c r="R27" s="438">
        <f>N27</f>
        <v>1</v>
      </c>
      <c r="S27" s="439">
        <f>Q27*R27</f>
        <v>23341093.581675645</v>
      </c>
      <c r="T27" s="438">
        <f>P27</f>
        <v>0.25</v>
      </c>
      <c r="U27" s="439">
        <f>S27*T27</f>
        <v>5835273.3954189112</v>
      </c>
      <c r="V27" s="438">
        <f>R27</f>
        <v>1</v>
      </c>
      <c r="W27" s="439">
        <f>U27*V27</f>
        <v>5835273.3954189112</v>
      </c>
      <c r="X27" s="438">
        <f>T27</f>
        <v>0.25</v>
      </c>
      <c r="Y27" s="439">
        <f>W27*X27</f>
        <v>1458818.3488547278</v>
      </c>
      <c r="Z27" s="438">
        <f>V27</f>
        <v>1</v>
      </c>
      <c r="AA27" s="439">
        <f>Y27*Z27</f>
        <v>1458818.3488547278</v>
      </c>
      <c r="AB27" s="438">
        <f>X27</f>
        <v>0.25</v>
      </c>
      <c r="AC27" s="439">
        <f>AA27*AB27</f>
        <v>364704.58721368195</v>
      </c>
      <c r="AD27" s="438">
        <f>Z27</f>
        <v>1</v>
      </c>
      <c r="AE27" s="439">
        <f>AC27*AD27</f>
        <v>364704.58721368195</v>
      </c>
      <c r="AF27" s="438">
        <f>AB27</f>
        <v>0.25</v>
      </c>
      <c r="AG27" s="439">
        <f>AE27*AF27</f>
        <v>91176.146803420488</v>
      </c>
      <c r="AH27" s="438">
        <f>AD27</f>
        <v>1</v>
      </c>
      <c r="AI27" s="439">
        <f>AG27*AH27</f>
        <v>91176.146803420488</v>
      </c>
      <c r="AJ27" s="438">
        <f>AF27</f>
        <v>0.25</v>
      </c>
      <c r="AK27" s="439">
        <f>AI27*AJ27</f>
        <v>22794.036700855122</v>
      </c>
      <c r="AL27" s="438">
        <f>AH27</f>
        <v>1</v>
      </c>
      <c r="AM27" s="439">
        <f>AK27*AL27</f>
        <v>22794.036700855122</v>
      </c>
      <c r="AN27" s="438">
        <f>AJ27</f>
        <v>0.25</v>
      </c>
      <c r="AO27" s="439">
        <f>AM27*AN27</f>
        <v>5698.5091752137805</v>
      </c>
      <c r="AP27" s="438">
        <f>AL27</f>
        <v>1</v>
      </c>
      <c r="AQ27" s="439">
        <f>AO27*AP27</f>
        <v>5698.5091752137805</v>
      </c>
      <c r="AR27" s="438">
        <f>AN27</f>
        <v>0.25</v>
      </c>
      <c r="AS27" s="439">
        <f>AQ27*AR27</f>
        <v>1424.6272938034451</v>
      </c>
      <c r="AT27" s="438">
        <f>AP27</f>
        <v>1</v>
      </c>
      <c r="AU27" s="439">
        <f>AS27*AT27</f>
        <v>1424.6272938034451</v>
      </c>
      <c r="AV27" s="438">
        <f>AR27</f>
        <v>0.25</v>
      </c>
      <c r="AW27" s="439">
        <f>AU27*AV27</f>
        <v>356.15682345086128</v>
      </c>
      <c r="AX27" s="438">
        <f>AT27</f>
        <v>1</v>
      </c>
      <c r="AY27" s="439">
        <f>AW27*AX27</f>
        <v>356.15682345086128</v>
      </c>
      <c r="AZ27" s="438">
        <f>AV27</f>
        <v>0.25</v>
      </c>
      <c r="BA27" s="439">
        <f>AY27*AZ27</f>
        <v>89.03920586271532</v>
      </c>
      <c r="BB27" s="438">
        <f>AX27</f>
        <v>1</v>
      </c>
      <c r="BC27" s="439">
        <f>BA27*BB27</f>
        <v>89.03920586271532</v>
      </c>
      <c r="BD27" s="438">
        <f>AR27</f>
        <v>0.25</v>
      </c>
      <c r="BE27" s="439">
        <f>BC27*BD27</f>
        <v>22.25980146567883</v>
      </c>
      <c r="BF27" s="438">
        <f>AT27</f>
        <v>1</v>
      </c>
      <c r="BG27" s="439">
        <f>BE27*BF27</f>
        <v>22.25980146567883</v>
      </c>
      <c r="BH27" s="438">
        <f>BD27</f>
        <v>0.25</v>
      </c>
      <c r="BI27" s="439">
        <f>BG27*BH27</f>
        <v>5.5649503664197075</v>
      </c>
      <c r="BJ27" s="438">
        <f>BF27</f>
        <v>1</v>
      </c>
      <c r="BK27" s="439">
        <f>BI27*BJ27</f>
        <v>5.5649503664197075</v>
      </c>
      <c r="BL27" s="438">
        <f>BH27</f>
        <v>0.25</v>
      </c>
      <c r="BM27" s="439">
        <f>BK27*BL27</f>
        <v>1.3912375916049269</v>
      </c>
      <c r="BN27" s="438">
        <f>BJ27</f>
        <v>1</v>
      </c>
      <c r="BO27" s="439">
        <f>BM27*BN27</f>
        <v>1.3912375916049269</v>
      </c>
      <c r="BP27" s="438">
        <f>BL27</f>
        <v>0.25</v>
      </c>
      <c r="BQ27" s="439">
        <f>BO27*BP27</f>
        <v>0.34780939790123172</v>
      </c>
      <c r="BR27" s="438">
        <f>BN27</f>
        <v>1</v>
      </c>
      <c r="BS27" s="439">
        <f>BQ27*BR27</f>
        <v>0.34780939790123172</v>
      </c>
      <c r="BT27" s="438">
        <f>BP27</f>
        <v>0.25</v>
      </c>
      <c r="BU27" s="439">
        <f>BS27*BT27</f>
        <v>8.695234947530793E-2</v>
      </c>
      <c r="BV27" s="438">
        <f>BR27</f>
        <v>1</v>
      </c>
      <c r="BW27" s="439">
        <f>BU27*BV27</f>
        <v>8.695234947530793E-2</v>
      </c>
      <c r="BX27" s="438">
        <f>BT27</f>
        <v>0.25</v>
      </c>
      <c r="BY27" s="439">
        <f>BW27*BX27</f>
        <v>2.1738087368826983E-2</v>
      </c>
      <c r="BZ27" s="438">
        <f>BV27</f>
        <v>1</v>
      </c>
      <c r="CA27" s="439">
        <f>BY27*BZ27</f>
        <v>2.1738087368826983E-2</v>
      </c>
      <c r="CB27" s="438">
        <f>BX27</f>
        <v>0.25</v>
      </c>
      <c r="CC27" s="439">
        <f>CA27*CB27</f>
        <v>5.4345218422067456E-3</v>
      </c>
      <c r="CD27" s="438">
        <f>BZ27</f>
        <v>1</v>
      </c>
      <c r="CE27" s="439">
        <f>CC27*CD27</f>
        <v>5.4345218422067456E-3</v>
      </c>
      <c r="CF27" s="438">
        <f>CB27</f>
        <v>0.25</v>
      </c>
      <c r="CG27" s="439">
        <f>CE27*CF27</f>
        <v>1.3586304605516864E-3</v>
      </c>
      <c r="CH27" s="438">
        <f>CD27</f>
        <v>1</v>
      </c>
      <c r="CI27" s="439">
        <f>CG27*CH27</f>
        <v>1.3586304605516864E-3</v>
      </c>
      <c r="CJ27" s="438">
        <f>BX27</f>
        <v>0.25</v>
      </c>
      <c r="CK27" s="439">
        <f>CI27*CJ27</f>
        <v>3.396576151379216E-4</v>
      </c>
      <c r="CL27" s="438">
        <f>BZ27</f>
        <v>1</v>
      </c>
      <c r="CM27" s="439">
        <f>CK27*CL27</f>
        <v>3.396576151379216E-4</v>
      </c>
      <c r="CN27" s="438">
        <f>CJ27</f>
        <v>0.25</v>
      </c>
      <c r="CO27" s="439">
        <f>CM27*CN27</f>
        <v>8.4914403784480401E-5</v>
      </c>
      <c r="CP27" s="438">
        <f>CL27</f>
        <v>1</v>
      </c>
      <c r="CQ27" s="439">
        <f>CO27*CP27</f>
        <v>8.4914403784480401E-5</v>
      </c>
      <c r="CR27" s="438">
        <f>AB27</f>
        <v>0.25</v>
      </c>
      <c r="CS27" s="439">
        <f>CQ27*CR27</f>
        <v>2.12286009461201E-5</v>
      </c>
      <c r="CT27" s="438">
        <f>AD27</f>
        <v>1</v>
      </c>
      <c r="CU27" s="439">
        <f>CS27*CT27</f>
        <v>2.12286009461201E-5</v>
      </c>
      <c r="CV27" s="438">
        <f>CR27</f>
        <v>0.25</v>
      </c>
      <c r="CW27" s="439">
        <f>CU27*CV27</f>
        <v>5.307150236530025E-6</v>
      </c>
      <c r="CX27" s="438">
        <f>CT27</f>
        <v>1</v>
      </c>
      <c r="CY27" s="439">
        <f>CW27*CX27</f>
        <v>5.307150236530025E-6</v>
      </c>
      <c r="CZ27" s="719">
        <f>G27+I27+M27+Q27+U27+Y27+AC27+AG27+AK27+AO27+AS27+AW27+BA27+BE27+BI27+BM27+BQ27+BU27+BY27+CC27+CG27+CK27+CO27+CS27+CW27</f>
        <v>1991773318.9696534</v>
      </c>
      <c r="DB27" s="597">
        <f>CV27</f>
        <v>0.25</v>
      </c>
      <c r="DC27" s="439">
        <f>CY27*DB27</f>
        <v>1.3267875591325063E-6</v>
      </c>
      <c r="DD27" s="623"/>
      <c r="DE27" s="624"/>
      <c r="DF27" s="628"/>
      <c r="DI27" s="473"/>
      <c r="DN27" s="982" t="s">
        <v>989</v>
      </c>
      <c r="DO27" s="983">
        <f t="shared" si="2"/>
        <v>2020</v>
      </c>
      <c r="DP27" s="910">
        <f t="shared" si="3"/>
        <v>83385936566883.984</v>
      </c>
      <c r="DQ27" s="985">
        <f t="shared" si="4"/>
        <v>2.5000000000000001E-2</v>
      </c>
      <c r="DR27" s="910">
        <f t="shared" si="5"/>
        <v>2084648414172.0996</v>
      </c>
      <c r="DS27" s="895" t="s">
        <v>1283</v>
      </c>
      <c r="DT27" s="75"/>
      <c r="DU27" s="968">
        <f t="shared" si="6"/>
        <v>2020</v>
      </c>
      <c r="DV27" s="305">
        <f>DV20</f>
        <v>10737418.24</v>
      </c>
      <c r="DW27" s="986">
        <v>64</v>
      </c>
      <c r="DX27" s="411">
        <f t="shared" si="0"/>
        <v>687194767.36000001</v>
      </c>
      <c r="DY27" s="980">
        <v>1.5</v>
      </c>
      <c r="DZ27" s="980"/>
      <c r="EA27" s="305">
        <f t="shared" si="1"/>
        <v>1030792151.04</v>
      </c>
      <c r="EB27" s="978" t="s">
        <v>1144</v>
      </c>
      <c r="EC27" s="305">
        <f t="shared" si="7"/>
        <v>1030792151.04</v>
      </c>
      <c r="ED27" s="691">
        <f t="shared" si="8"/>
        <v>1185410973.6960001</v>
      </c>
      <c r="EE27" s="893">
        <f t="shared" ref="EE27:EE31" si="12">EE26</f>
        <v>0.125</v>
      </c>
      <c r="EF27" s="973">
        <f t="shared" si="11"/>
        <v>148176371.71200001</v>
      </c>
      <c r="EG27" s="305">
        <f t="shared" ref="EG27:EG55" si="13">EG26</f>
        <v>8361523322.01966</v>
      </c>
      <c r="EH27" s="910">
        <f t="shared" si="9"/>
        <v>0</v>
      </c>
      <c r="EI27" s="981">
        <f t="shared" si="10"/>
        <v>2020</v>
      </c>
    </row>
    <row r="28" spans="1:141"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142"/>
      <c r="BQ28" s="434"/>
      <c r="BR28" s="142"/>
      <c r="BS28" s="434"/>
      <c r="BT28" s="142"/>
      <c r="BU28" s="434"/>
      <c r="BV28" s="142"/>
      <c r="BW28" s="434"/>
      <c r="BX28" s="142"/>
      <c r="BY28" s="434"/>
      <c r="BZ28" s="142"/>
      <c r="CA28" s="434"/>
      <c r="CB28" s="142"/>
      <c r="CC28" s="434"/>
      <c r="CD28" s="142"/>
      <c r="CE28" s="434"/>
      <c r="CF28" s="142"/>
      <c r="CG28" s="434"/>
      <c r="CH28" s="142"/>
      <c r="CI28" s="434"/>
      <c r="CJ28" s="142"/>
      <c r="CK28" s="434"/>
      <c r="CL28" s="142"/>
      <c r="CM28" s="434"/>
      <c r="CN28" s="142"/>
      <c r="CO28" s="434"/>
      <c r="CP28" s="142"/>
      <c r="CQ28" s="434"/>
      <c r="CR28" s="142"/>
      <c r="CS28" s="434"/>
      <c r="CT28" s="142"/>
      <c r="CU28" s="434"/>
      <c r="CV28" s="437"/>
      <c r="CW28" s="434"/>
      <c r="CX28" s="142"/>
      <c r="CY28" s="434"/>
      <c r="CZ28" s="180"/>
      <c r="DB28" s="122"/>
      <c r="DC28" s="8"/>
      <c r="DD28" s="623"/>
      <c r="DE28" s="624"/>
      <c r="DF28" s="629">
        <f>DC5</f>
        <v>18309735474.494347</v>
      </c>
      <c r="DI28" s="473"/>
      <c r="DN28" s="982" t="s">
        <v>989</v>
      </c>
      <c r="DO28" s="983">
        <f t="shared" si="2"/>
        <v>2021</v>
      </c>
      <c r="DP28" s="910">
        <f t="shared" si="3"/>
        <v>85470584981056.078</v>
      </c>
      <c r="DQ28" s="985">
        <f t="shared" si="4"/>
        <v>2.5000000000000001E-2</v>
      </c>
      <c r="DR28" s="910">
        <f t="shared" si="5"/>
        <v>2136764624526.4021</v>
      </c>
      <c r="DT28" s="75"/>
      <c r="DU28" s="968">
        <f t="shared" si="6"/>
        <v>2021</v>
      </c>
      <c r="DV28" s="305">
        <f>DV20</f>
        <v>10737418.24</v>
      </c>
      <c r="DW28" s="986">
        <v>64</v>
      </c>
      <c r="DX28" s="411">
        <f t="shared" si="0"/>
        <v>687194767.36000001</v>
      </c>
      <c r="DY28" s="980">
        <v>1.25</v>
      </c>
      <c r="DZ28" s="980"/>
      <c r="EA28" s="305">
        <f t="shared" si="1"/>
        <v>858993459.20000005</v>
      </c>
      <c r="EB28" s="978" t="s">
        <v>1144</v>
      </c>
      <c r="EC28" s="305">
        <f t="shared" si="7"/>
        <v>858993459.20000005</v>
      </c>
      <c r="ED28" s="691">
        <f t="shared" si="8"/>
        <v>2044404432.8960001</v>
      </c>
      <c r="EE28" s="893">
        <f t="shared" si="12"/>
        <v>0.125</v>
      </c>
      <c r="EF28" s="973">
        <f t="shared" si="11"/>
        <v>255550554.11200002</v>
      </c>
      <c r="EG28" s="305">
        <f t="shared" si="13"/>
        <v>8361523322.01966</v>
      </c>
      <c r="EH28" s="910">
        <f t="shared" si="9"/>
        <v>0</v>
      </c>
      <c r="EI28" s="981">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422389410450.64746</v>
      </c>
      <c r="DB29" s="179"/>
      <c r="DC29" s="161">
        <f>SUM(DC10:DC28)</f>
        <v>16815905485.267107</v>
      </c>
      <c r="DD29" s="691">
        <v>1</v>
      </c>
      <c r="DE29" s="183">
        <f>DC29*DD29</f>
        <v>16815905485.267107</v>
      </c>
      <c r="DF29" s="645">
        <f>DE29+DF28</f>
        <v>35125640959.761452</v>
      </c>
      <c r="DG29" s="253" t="s">
        <v>1383</v>
      </c>
      <c r="DI29" s="473"/>
      <c r="DN29" s="982" t="s">
        <v>989</v>
      </c>
      <c r="DO29" s="983">
        <f>DO28+1</f>
        <v>2022</v>
      </c>
      <c r="DP29" s="910">
        <f>DP28+DR28</f>
        <v>87607349605582.484</v>
      </c>
      <c r="DQ29" s="985">
        <f>DQ28</f>
        <v>2.5000000000000001E-2</v>
      </c>
      <c r="DR29" s="910">
        <f t="shared" si="5"/>
        <v>2190183740139.5623</v>
      </c>
      <c r="DT29" s="75"/>
      <c r="DU29" s="968">
        <f>DU28+1</f>
        <v>2022</v>
      </c>
      <c r="DV29" s="305">
        <f>DV20</f>
        <v>10737418.24</v>
      </c>
      <c r="DW29" s="986">
        <v>64</v>
      </c>
      <c r="DX29" s="411">
        <f t="shared" si="0"/>
        <v>687194767.36000001</v>
      </c>
      <c r="DY29" s="980">
        <v>2</v>
      </c>
      <c r="DZ29" s="980"/>
      <c r="EA29" s="305">
        <f t="shared" si="1"/>
        <v>1374389534.72</v>
      </c>
      <c r="EB29" s="978" t="s">
        <v>1144</v>
      </c>
      <c r="EC29" s="305">
        <f t="shared" si="7"/>
        <v>1374389534.72</v>
      </c>
      <c r="ED29" s="691">
        <f t="shared" si="8"/>
        <v>3418793967.6160002</v>
      </c>
      <c r="EE29" s="893">
        <f t="shared" si="12"/>
        <v>0.125</v>
      </c>
      <c r="EF29" s="973">
        <f t="shared" si="11"/>
        <v>427349245.95200002</v>
      </c>
      <c r="EG29" s="305">
        <f t="shared" si="13"/>
        <v>8361523322.01966</v>
      </c>
      <c r="EH29" s="910">
        <f t="shared" si="9"/>
        <v>0</v>
      </c>
      <c r="EI29" s="981">
        <f>EI28+1</f>
        <v>2022</v>
      </c>
    </row>
    <row r="30" spans="1:141" x14ac:dyDescent="0.3">
      <c r="C30" s="158"/>
      <c r="D30" s="10"/>
      <c r="E30" s="10"/>
      <c r="F30" s="10"/>
      <c r="G30" s="159">
        <f>SUM(G10:G29)</f>
        <v>18309735474.494347</v>
      </c>
      <c r="H30" s="599"/>
      <c r="I30" s="172">
        <f>SUM(I10:I29)</f>
        <v>17189362982.573914</v>
      </c>
      <c r="J30" s="158"/>
      <c r="K30" s="11"/>
      <c r="L30" s="160"/>
      <c r="M30" s="161">
        <f>SUM(M10:M29)</f>
        <v>16909269859.593807</v>
      </c>
      <c r="N30" s="158"/>
      <c r="O30" s="11"/>
      <c r="P30" s="598"/>
      <c r="Q30" s="172">
        <f>SUM(Q10:Q29)</f>
        <v>16839246578.848782</v>
      </c>
      <c r="R30" s="158"/>
      <c r="S30" s="11"/>
      <c r="T30" s="160"/>
      <c r="U30" s="161">
        <f>SUM(U10:U29)</f>
        <v>16821740758.662523</v>
      </c>
      <c r="V30" s="158"/>
      <c r="W30" s="11"/>
      <c r="X30" s="598"/>
      <c r="Y30" s="172">
        <f>SUM(Y10:Y29)</f>
        <v>16817364303.615959</v>
      </c>
      <c r="Z30" s="158"/>
      <c r="AA30" s="11"/>
      <c r="AB30" s="160"/>
      <c r="AC30" s="161">
        <f>SUM(AC10:AC29)</f>
        <v>16816270189.854319</v>
      </c>
      <c r="AD30" s="158"/>
      <c r="AE30" s="11"/>
      <c r="AF30" s="598"/>
      <c r="AG30" s="172">
        <f>SUM(AG10:AG29)</f>
        <v>16815996661.413908</v>
      </c>
      <c r="AH30" s="158"/>
      <c r="AI30" s="11"/>
      <c r="AJ30" s="598"/>
      <c r="AK30" s="172">
        <f>SUM(AK10:AK29)</f>
        <v>16815928279.303806</v>
      </c>
      <c r="AL30" s="158"/>
      <c r="AM30" s="11"/>
      <c r="AN30" s="598"/>
      <c r="AO30" s="172">
        <f>SUM(AO10:AO29)</f>
        <v>16815911183.776279</v>
      </c>
      <c r="AP30" s="158"/>
      <c r="AQ30" s="11"/>
      <c r="AR30" s="598"/>
      <c r="AS30" s="172">
        <f>SUM(AS10:AS29)</f>
        <v>16815906909.8944</v>
      </c>
      <c r="AT30" s="158"/>
      <c r="AU30" s="11"/>
      <c r="AV30" s="598"/>
      <c r="AW30" s="172">
        <f>SUM(AW10:AW29)</f>
        <v>16815905841.423929</v>
      </c>
      <c r="AX30" s="158"/>
      <c r="AY30" s="11"/>
      <c r="AZ30" s="598"/>
      <c r="BA30" s="172">
        <f>SUM(BA10:BA29)</f>
        <v>16815905574.306311</v>
      </c>
      <c r="BB30" s="158"/>
      <c r="BC30" s="11"/>
      <c r="BD30" s="598"/>
      <c r="BE30" s="172">
        <f>SUM(BE10:BE29)</f>
        <v>16815905507.526907</v>
      </c>
      <c r="BF30" s="158"/>
      <c r="BG30" s="11"/>
      <c r="BH30" s="598"/>
      <c r="BI30" s="172">
        <f>SUM(BI10:BI29)</f>
        <v>16815905490.832056</v>
      </c>
      <c r="BJ30" s="158"/>
      <c r="BK30" s="11"/>
      <c r="BL30" s="598"/>
      <c r="BM30" s="172">
        <f>SUM(BM10:BM29)</f>
        <v>16815905486.658342</v>
      </c>
      <c r="BN30" s="158"/>
      <c r="BO30" s="11"/>
      <c r="BP30" s="598"/>
      <c r="BQ30" s="172">
        <f>SUM(BQ10:BQ29)</f>
        <v>16815905485.614914</v>
      </c>
      <c r="BR30" s="158"/>
      <c r="BS30" s="11"/>
      <c r="BT30" s="598"/>
      <c r="BU30" s="172">
        <f>SUM(BU10:BU29)</f>
        <v>16815905485.354057</v>
      </c>
      <c r="BV30" s="158"/>
      <c r="BW30" s="11"/>
      <c r="BX30" s="598"/>
      <c r="BY30" s="172">
        <f>SUM(BY10:BY29)</f>
        <v>16815905485.288843</v>
      </c>
      <c r="BZ30" s="158"/>
      <c r="CA30" s="11"/>
      <c r="CB30" s="598"/>
      <c r="CC30" s="172">
        <f>SUM(CC10:CC29)</f>
        <v>16815905485.272539</v>
      </c>
      <c r="CD30" s="158"/>
      <c r="CE30" s="11"/>
      <c r="CF30" s="598"/>
      <c r="CG30" s="172">
        <f>SUM(CG10:CG29)</f>
        <v>16815905485.268463</v>
      </c>
      <c r="CH30" s="158"/>
      <c r="CI30" s="11"/>
      <c r="CJ30" s="598"/>
      <c r="CK30" s="172">
        <f>SUM(CK10:CK29)</f>
        <v>16815905485.267445</v>
      </c>
      <c r="CL30" s="158"/>
      <c r="CM30" s="11"/>
      <c r="CN30" s="598"/>
      <c r="CO30" s="172">
        <f>SUM(CO10:CO29)</f>
        <v>16815905485.267191</v>
      </c>
      <c r="CP30" s="158"/>
      <c r="CQ30" s="11"/>
      <c r="CR30" s="598"/>
      <c r="CS30" s="172">
        <f>SUM(CS10:CS29)</f>
        <v>16815905485.267126</v>
      </c>
      <c r="CT30" s="158"/>
      <c r="CU30" s="11"/>
      <c r="CV30" s="179"/>
      <c r="CW30" s="161">
        <f>SUM(CW10:CW29)</f>
        <v>16815905485.267111</v>
      </c>
      <c r="CX30" s="158"/>
      <c r="CY30" s="11"/>
      <c r="CZ30" s="161">
        <f>G30+I30+M30+Q30+U30+Y30+AC30+CS30+CW30</f>
        <v>153334801118.17789</v>
      </c>
      <c r="DF30" s="253" t="s">
        <v>1383</v>
      </c>
      <c r="DI30" s="473"/>
      <c r="DN30" s="982" t="s">
        <v>989</v>
      </c>
      <c r="DO30" s="983">
        <f>DO29+1</f>
        <v>2023</v>
      </c>
      <c r="DP30" s="910">
        <f>DP29+DR29</f>
        <v>89797533345722.047</v>
      </c>
      <c r="DQ30" s="985">
        <f>DQ29</f>
        <v>2.5000000000000001E-2</v>
      </c>
      <c r="DR30" s="910">
        <f t="shared" si="5"/>
        <v>2244938333643.0513</v>
      </c>
      <c r="DT30" s="75"/>
      <c r="DU30" s="968">
        <f>DU29+1</f>
        <v>2023</v>
      </c>
      <c r="DV30" s="305">
        <f>DV20</f>
        <v>10737418.24</v>
      </c>
      <c r="DW30" s="986">
        <v>64</v>
      </c>
      <c r="DX30" s="411">
        <f t="shared" si="0"/>
        <v>687194767.36000001</v>
      </c>
      <c r="DY30" s="980">
        <v>3</v>
      </c>
      <c r="DZ30" s="980"/>
      <c r="EA30" s="305">
        <f t="shared" si="1"/>
        <v>2061584302.0799999</v>
      </c>
      <c r="EB30" s="978" t="s">
        <v>1144</v>
      </c>
      <c r="EC30" s="305">
        <f t="shared" si="7"/>
        <v>2061584302.0799999</v>
      </c>
      <c r="ED30" s="691">
        <f t="shared" si="8"/>
        <v>5480378269.6960001</v>
      </c>
      <c r="EE30" s="893">
        <f t="shared" si="12"/>
        <v>0.125</v>
      </c>
      <c r="EF30" s="973">
        <f t="shared" si="11"/>
        <v>685047283.71200001</v>
      </c>
      <c r="EG30" s="305">
        <f t="shared" si="13"/>
        <v>8361523322.01966</v>
      </c>
      <c r="EH30" s="910">
        <f t="shared" si="9"/>
        <v>0</v>
      </c>
      <c r="EI30" s="981">
        <f>EI29+1</f>
        <v>2023</v>
      </c>
    </row>
    <row r="31" spans="1:141" x14ac:dyDescent="0.3">
      <c r="I31" s="30"/>
      <c r="Q31" s="30"/>
      <c r="Y31" s="30"/>
      <c r="CZ31" s="999" t="s">
        <v>1355</v>
      </c>
      <c r="DB31" s="77" t="s">
        <v>1382</v>
      </c>
      <c r="DC31" s="567">
        <f>CZ34</f>
        <v>24.034557968875088</v>
      </c>
      <c r="DD31" s="76"/>
      <c r="DE31" s="76" t="s">
        <v>957</v>
      </c>
      <c r="DI31" s="473"/>
      <c r="DN31" s="982" t="s">
        <v>989</v>
      </c>
      <c r="DO31" s="983">
        <f t="shared" si="2"/>
        <v>2024</v>
      </c>
      <c r="DP31" s="910">
        <f t="shared" si="3"/>
        <v>92042471679365.094</v>
      </c>
      <c r="DQ31" s="985">
        <f t="shared" si="4"/>
        <v>2.5000000000000001E-2</v>
      </c>
      <c r="DR31" s="910">
        <f t="shared" si="5"/>
        <v>2301061791984.1274</v>
      </c>
      <c r="DS31" s="895" t="s">
        <v>1282</v>
      </c>
      <c r="DT31" s="75"/>
      <c r="DU31" s="968">
        <f t="shared" si="6"/>
        <v>2024</v>
      </c>
      <c r="DV31" s="305">
        <f>DV20</f>
        <v>10737418.24</v>
      </c>
      <c r="DW31" s="986">
        <v>64</v>
      </c>
      <c r="DX31" s="411">
        <f t="shared" si="0"/>
        <v>687194767.36000001</v>
      </c>
      <c r="DY31" s="980">
        <v>8</v>
      </c>
      <c r="DZ31" s="980"/>
      <c r="EA31" s="305">
        <f t="shared" si="1"/>
        <v>5497558138.8800001</v>
      </c>
      <c r="EB31" s="978" t="s">
        <v>1144</v>
      </c>
      <c r="EC31" s="305">
        <f t="shared" si="7"/>
        <v>5497558138.8800001</v>
      </c>
      <c r="ED31" s="691">
        <f t="shared" si="8"/>
        <v>10977936408.576</v>
      </c>
      <c r="EE31" s="893">
        <f t="shared" si="12"/>
        <v>0.125</v>
      </c>
      <c r="EF31" s="995">
        <f t="shared" si="11"/>
        <v>1372242051.072</v>
      </c>
      <c r="EG31" s="305">
        <f t="shared" si="13"/>
        <v>8361523322.01966</v>
      </c>
      <c r="EH31" s="910">
        <f t="shared" si="9"/>
        <v>0</v>
      </c>
      <c r="EI31" s="981">
        <f t="shared" si="10"/>
        <v>2024</v>
      </c>
      <c r="EJ31" s="1000">
        <v>0.125</v>
      </c>
      <c r="EK31" s="1001">
        <f>EF31*EE31</f>
        <v>171530256.384</v>
      </c>
    </row>
    <row r="32" spans="1:141" x14ac:dyDescent="0.3">
      <c r="A32" s="690"/>
      <c r="B32" s="690"/>
      <c r="I32" s="690"/>
      <c r="CY32" s="1150" t="s">
        <v>306</v>
      </c>
      <c r="CZ32" s="182">
        <f>E8</f>
        <v>36619470948.988693</v>
      </c>
      <c r="DB32" s="736">
        <f>CZ47</f>
        <v>36619470948.988693</v>
      </c>
      <c r="DC32" s="568">
        <f>DB32*CZ34</f>
        <v>880132797313.00598</v>
      </c>
      <c r="DD32" s="208">
        <f>DA49</f>
        <v>0.66163000000000005</v>
      </c>
      <c r="DE32" s="691">
        <f>DC32*DD32</f>
        <v>582322262686.20422</v>
      </c>
      <c r="DI32" s="473"/>
      <c r="DN32" s="332" t="s">
        <v>989</v>
      </c>
      <c r="DO32" s="953">
        <f>DO31+1</f>
        <v>2025</v>
      </c>
      <c r="DP32" s="691">
        <f>DP31+DR31</f>
        <v>94343533471349.219</v>
      </c>
      <c r="DQ32" s="894">
        <f>DQ31</f>
        <v>2.5000000000000001E-2</v>
      </c>
      <c r="DR32" s="691">
        <f t="shared" si="5"/>
        <v>2358588336783.7305</v>
      </c>
      <c r="DT32" s="332" t="s">
        <v>963</v>
      </c>
      <c r="DU32" s="953">
        <f>DU31+1</f>
        <v>2025</v>
      </c>
      <c r="DV32" s="691">
        <f>DV20</f>
        <v>10737418.24</v>
      </c>
      <c r="DW32" s="987">
        <v>64</v>
      </c>
      <c r="DX32" s="875">
        <f t="shared" si="0"/>
        <v>687194767.36000001</v>
      </c>
      <c r="DY32" s="977"/>
      <c r="DZ32" s="977"/>
      <c r="EA32" s="691">
        <f t="shared" si="1"/>
        <v>0</v>
      </c>
      <c r="EC32" s="691">
        <f t="shared" si="7"/>
        <v>0</v>
      </c>
      <c r="ED32" s="691">
        <f t="shared" si="8"/>
        <v>10977936408.576</v>
      </c>
      <c r="EE32" s="894">
        <f>EE31</f>
        <v>0.125</v>
      </c>
      <c r="EF32" s="975">
        <f t="shared" si="11"/>
        <v>1372242051.072</v>
      </c>
      <c r="EG32" s="691">
        <f t="shared" si="13"/>
        <v>8361523322.01966</v>
      </c>
      <c r="EH32" s="183">
        <f t="shared" si="9"/>
        <v>0</v>
      </c>
      <c r="EI32" s="949">
        <f>EI31+1</f>
        <v>2025</v>
      </c>
    </row>
    <row r="33" spans="1:139" x14ac:dyDescent="0.3">
      <c r="I33" s="690"/>
      <c r="J33" s="18"/>
      <c r="K33" s="690"/>
      <c r="CY33" s="122" t="s">
        <v>307</v>
      </c>
      <c r="CZ33" s="183">
        <f>CZ29+CZ5</f>
        <v>880132797313.00598</v>
      </c>
      <c r="DC33" s="248"/>
      <c r="DE33" s="181"/>
      <c r="DI33" s="473"/>
      <c r="DN33" s="332" t="s">
        <v>989</v>
      </c>
      <c r="DO33" s="953">
        <f t="shared" si="2"/>
        <v>2026</v>
      </c>
      <c r="DP33" s="691">
        <f t="shared" si="3"/>
        <v>96702121808132.953</v>
      </c>
      <c r="DQ33" s="894">
        <f t="shared" si="4"/>
        <v>2.5000000000000001E-2</v>
      </c>
      <c r="DR33" s="691">
        <f t="shared" si="5"/>
        <v>2417553045203.3237</v>
      </c>
      <c r="DT33" s="332"/>
      <c r="DU33" s="953">
        <f t="shared" si="6"/>
        <v>2026</v>
      </c>
      <c r="DV33" s="691">
        <f>DV20</f>
        <v>10737418.24</v>
      </c>
      <c r="DW33" s="987">
        <v>64</v>
      </c>
      <c r="DX33" s="875">
        <f t="shared" si="0"/>
        <v>687194767.36000001</v>
      </c>
      <c r="DY33" s="977"/>
      <c r="DZ33" s="977"/>
      <c r="EA33" s="691">
        <f t="shared" si="1"/>
        <v>0</v>
      </c>
      <c r="EC33" s="691">
        <f t="shared" si="7"/>
        <v>0</v>
      </c>
      <c r="ED33" s="691">
        <f t="shared" si="8"/>
        <v>10977936408.576</v>
      </c>
      <c r="EE33" s="894">
        <f>EE32</f>
        <v>0.125</v>
      </c>
      <c r="EF33" s="975">
        <f t="shared" si="11"/>
        <v>1372242051.072</v>
      </c>
      <c r="EG33" s="691">
        <f t="shared" si="13"/>
        <v>8361523322.01966</v>
      </c>
      <c r="EH33" s="183">
        <f t="shared" si="9"/>
        <v>0</v>
      </c>
      <c r="EI33" s="949">
        <f t="shared" si="10"/>
        <v>2026</v>
      </c>
    </row>
    <row r="34" spans="1:139" x14ac:dyDescent="0.3">
      <c r="A34" s="690"/>
      <c r="B34" s="690"/>
      <c r="C34" s="900" t="s">
        <v>1036</v>
      </c>
      <c r="D34" s="901" t="s">
        <v>1287</v>
      </c>
      <c r="E34" s="4"/>
      <c r="F34" s="4"/>
      <c r="G34" s="5"/>
      <c r="CY34" s="1150" t="s">
        <v>310</v>
      </c>
      <c r="CZ34" s="184">
        <f>CZ33/CZ32</f>
        <v>24.034557968875088</v>
      </c>
      <c r="DA34" s="239"/>
      <c r="DB34" s="239" t="s">
        <v>974</v>
      </c>
      <c r="DC34" s="248" t="s">
        <v>1384</v>
      </c>
      <c r="DD34" s="239"/>
      <c r="DE34" s="181"/>
      <c r="DI34" s="473"/>
      <c r="DN34" s="332" t="s">
        <v>989</v>
      </c>
      <c r="DO34" s="953">
        <f t="shared" si="2"/>
        <v>2027</v>
      </c>
      <c r="DP34" s="691">
        <f t="shared" si="3"/>
        <v>99119674853336.281</v>
      </c>
      <c r="DQ34" s="894">
        <f t="shared" si="4"/>
        <v>2.5000000000000001E-2</v>
      </c>
      <c r="DR34" s="691">
        <f t="shared" si="5"/>
        <v>2477991871333.4072</v>
      </c>
      <c r="DT34" s="76"/>
      <c r="DU34" s="953">
        <f t="shared" si="6"/>
        <v>2027</v>
      </c>
      <c r="DV34" s="691">
        <f>DV20</f>
        <v>10737418.24</v>
      </c>
      <c r="DW34" s="987">
        <v>64</v>
      </c>
      <c r="DX34" s="875">
        <f t="shared" si="0"/>
        <v>687194767.36000001</v>
      </c>
      <c r="DY34" s="977"/>
      <c r="DZ34" s="977"/>
      <c r="EA34" s="691">
        <f t="shared" si="1"/>
        <v>0</v>
      </c>
      <c r="EC34" s="691">
        <f t="shared" si="7"/>
        <v>0</v>
      </c>
      <c r="ED34" s="691">
        <f t="shared" si="8"/>
        <v>10977936408.576</v>
      </c>
      <c r="EE34" s="894">
        <f t="shared" ref="EE34:EE55" si="14">EE33</f>
        <v>0.125</v>
      </c>
      <c r="EF34" s="975">
        <f t="shared" si="11"/>
        <v>1372242051.072</v>
      </c>
      <c r="EG34" s="691">
        <f t="shared" si="13"/>
        <v>8361523322.01966</v>
      </c>
      <c r="EH34" s="183">
        <f t="shared" si="9"/>
        <v>0</v>
      </c>
      <c r="EI34" s="949">
        <f t="shared" si="10"/>
        <v>2027</v>
      </c>
    </row>
    <row r="35" spans="1:139" x14ac:dyDescent="0.3">
      <c r="A35" s="690"/>
      <c r="B35" s="690"/>
      <c r="C35" s="122" t="s">
        <v>732</v>
      </c>
      <c r="D35" s="287" t="s">
        <v>1288</v>
      </c>
      <c r="E35" s="7" t="s">
        <v>1289</v>
      </c>
      <c r="F35" s="7"/>
      <c r="G35" s="8"/>
      <c r="CX35" s="38"/>
      <c r="CY35" s="1150" t="s">
        <v>785</v>
      </c>
      <c r="CZ35" s="472"/>
      <c r="DA35" s="473"/>
      <c r="DB35" s="472"/>
      <c r="DC35" s="472">
        <f>DB35-CZ35</f>
        <v>0</v>
      </c>
      <c r="DD35" s="473"/>
      <c r="DE35" s="563"/>
      <c r="DF35" s="473"/>
      <c r="DG35" s="473"/>
      <c r="DH35" s="473"/>
      <c r="DI35" s="473"/>
      <c r="DJ35" s="88"/>
      <c r="DK35" s="88"/>
      <c r="DL35" s="88"/>
      <c r="DM35" s="88"/>
      <c r="DN35" s="332" t="s">
        <v>989</v>
      </c>
      <c r="DO35" s="953">
        <f t="shared" si="2"/>
        <v>2028</v>
      </c>
      <c r="DP35" s="691">
        <f t="shared" si="3"/>
        <v>101597666724669.69</v>
      </c>
      <c r="DQ35" s="894">
        <f t="shared" si="4"/>
        <v>2.5000000000000001E-2</v>
      </c>
      <c r="DR35" s="691">
        <f t="shared" si="5"/>
        <v>2539941668116.7422</v>
      </c>
      <c r="DT35" s="76"/>
      <c r="DU35" s="953">
        <f t="shared" si="6"/>
        <v>2028</v>
      </c>
      <c r="DV35" s="691">
        <f>DV20</f>
        <v>10737418.24</v>
      </c>
      <c r="DW35" s="987">
        <v>64</v>
      </c>
      <c r="DX35" s="875">
        <f t="shared" si="0"/>
        <v>687194767.36000001</v>
      </c>
      <c r="DY35" s="977"/>
      <c r="DZ35" s="977"/>
      <c r="EA35" s="691">
        <f t="shared" si="1"/>
        <v>0</v>
      </c>
      <c r="EC35" s="691">
        <f t="shared" si="7"/>
        <v>0</v>
      </c>
      <c r="ED35" s="691">
        <f t="shared" si="8"/>
        <v>10977936408.576</v>
      </c>
      <c r="EE35" s="894">
        <f t="shared" si="14"/>
        <v>0.125</v>
      </c>
      <c r="EF35" s="975">
        <f t="shared" si="11"/>
        <v>1372242051.072</v>
      </c>
      <c r="EG35" s="691">
        <f t="shared" si="13"/>
        <v>8361523322.01966</v>
      </c>
      <c r="EH35" s="183">
        <f t="shared" si="9"/>
        <v>0</v>
      </c>
      <c r="EI35" s="949">
        <f t="shared" si="10"/>
        <v>2028</v>
      </c>
    </row>
    <row r="36" spans="1:139" x14ac:dyDescent="0.3">
      <c r="A36" s="690"/>
      <c r="B36" s="690"/>
      <c r="C36" s="1151">
        <v>32</v>
      </c>
      <c r="D36" s="411">
        <f>'POP Dimensions'!J15</f>
        <v>21474836.48</v>
      </c>
      <c r="E36" s="411">
        <f>C36*D36</f>
        <v>687194767.36000001</v>
      </c>
      <c r="F36" s="896"/>
      <c r="G36" s="902" t="s">
        <v>732</v>
      </c>
      <c r="CX36" s="38"/>
      <c r="CY36" s="1206" t="s">
        <v>1445</v>
      </c>
      <c r="CZ36" s="1207">
        <f>'POP Dimensions'!L16*300%</f>
        <v>1030792151.04</v>
      </c>
      <c r="DA36" s="88"/>
      <c r="DB36" s="511"/>
      <c r="DC36" s="511"/>
      <c r="DD36" s="88"/>
      <c r="DE36" s="181"/>
      <c r="DF36" s="88"/>
      <c r="DG36" s="88"/>
      <c r="DH36" s="616">
        <f>DE47*DJ47</f>
        <v>10362325591.277946</v>
      </c>
      <c r="DI36" s="617" t="s">
        <v>778</v>
      </c>
      <c r="DJ36" s="88"/>
      <c r="DK36" s="88"/>
      <c r="DL36" s="88"/>
      <c r="DM36" s="88"/>
      <c r="DN36" s="332" t="s">
        <v>989</v>
      </c>
      <c r="DO36" s="953">
        <f>DO35+1</f>
        <v>2029</v>
      </c>
      <c r="DP36" s="691">
        <f>DP35+DR35</f>
        <v>104137608392786.44</v>
      </c>
      <c r="DQ36" s="894">
        <f>DQ35</f>
        <v>2.5000000000000001E-2</v>
      </c>
      <c r="DR36" s="691">
        <f>DP36*DQ36</f>
        <v>2603440209819.6611</v>
      </c>
      <c r="DT36" s="76"/>
      <c r="DU36" s="953">
        <f>DU35+1</f>
        <v>2029</v>
      </c>
      <c r="DV36" s="691">
        <f>DV20</f>
        <v>10737418.24</v>
      </c>
      <c r="DW36" s="987">
        <v>64</v>
      </c>
      <c r="DX36" s="875">
        <f>DW36*DV36</f>
        <v>687194767.36000001</v>
      </c>
      <c r="DY36" s="977"/>
      <c r="DZ36" s="977"/>
      <c r="EA36" s="691">
        <f>DX36*DY36</f>
        <v>0</v>
      </c>
      <c r="EC36" s="691">
        <f t="shared" si="7"/>
        <v>0</v>
      </c>
      <c r="ED36" s="691">
        <f>EC36+ED35-EH36</f>
        <v>10977936408.576</v>
      </c>
      <c r="EE36" s="894">
        <f t="shared" si="14"/>
        <v>0.125</v>
      </c>
      <c r="EF36" s="975">
        <f t="shared" si="11"/>
        <v>1372242051.072</v>
      </c>
      <c r="EG36" s="691">
        <f t="shared" si="13"/>
        <v>8361523322.01966</v>
      </c>
      <c r="EH36" s="183">
        <f>DX36*DZ36</f>
        <v>0</v>
      </c>
      <c r="EI36" s="949">
        <f t="shared" si="10"/>
        <v>2029</v>
      </c>
    </row>
    <row r="37" spans="1:139" x14ac:dyDescent="0.3">
      <c r="A37" s="690"/>
      <c r="B37" s="690"/>
      <c r="C37" s="1152">
        <f>C36*2</f>
        <v>64</v>
      </c>
      <c r="D37" s="897">
        <f>D36</f>
        <v>21474836.48</v>
      </c>
      <c r="E37" s="897">
        <f t="shared" ref="E37:E43" si="15">C37*D37</f>
        <v>1374389534.72</v>
      </c>
      <c r="F37" s="874"/>
      <c r="G37" s="903" t="s">
        <v>732</v>
      </c>
      <c r="CX37" s="38"/>
      <c r="CY37" s="1206" t="s">
        <v>1444</v>
      </c>
      <c r="CZ37" s="1207">
        <v>0</v>
      </c>
      <c r="DA37" s="88"/>
      <c r="DB37" s="511"/>
      <c r="DC37" s="511"/>
      <c r="DD37" s="88"/>
      <c r="DE37" s="181"/>
      <c r="DF37" s="88"/>
      <c r="DG37" s="88"/>
      <c r="DH37" s="616"/>
      <c r="DI37" s="617"/>
      <c r="DJ37" s="88"/>
      <c r="DK37" s="88"/>
      <c r="DL37" s="88"/>
      <c r="DM37" s="88"/>
      <c r="DN37" s="332" t="s">
        <v>989</v>
      </c>
      <c r="DO37" s="953">
        <f>DO36+1</f>
        <v>2030</v>
      </c>
      <c r="DP37" s="691">
        <f>DP36+DR36</f>
        <v>106741048602606.09</v>
      </c>
      <c r="DQ37" s="894">
        <f>DQ36</f>
        <v>2.5000000000000001E-2</v>
      </c>
      <c r="DR37" s="691">
        <f>DP37*DQ37</f>
        <v>2668526215065.1523</v>
      </c>
      <c r="DT37" s="76"/>
      <c r="DU37" s="953">
        <f>DU36+1</f>
        <v>2030</v>
      </c>
      <c r="DV37" s="691">
        <f>DV20</f>
        <v>10737418.24</v>
      </c>
      <c r="DW37" s="987">
        <v>64</v>
      </c>
      <c r="DX37" s="875">
        <f t="shared" ref="DX37:DX55" si="16">DW37*DV37</f>
        <v>687194767.36000001</v>
      </c>
      <c r="DY37" s="977"/>
      <c r="DZ37" s="977"/>
      <c r="EA37" s="691">
        <f t="shared" ref="EA37:EA55" si="17">DX37*DY37</f>
        <v>0</v>
      </c>
      <c r="EC37" s="691">
        <f t="shared" si="7"/>
        <v>0</v>
      </c>
      <c r="ED37" s="691">
        <f>EC37+ED36-EH37</f>
        <v>10977936408.576</v>
      </c>
      <c r="EE37" s="894">
        <f t="shared" si="14"/>
        <v>0.125</v>
      </c>
      <c r="EF37" s="975">
        <f t="shared" si="11"/>
        <v>1372242051.072</v>
      </c>
      <c r="EG37" s="691">
        <f t="shared" si="13"/>
        <v>8361523322.01966</v>
      </c>
      <c r="EH37" s="183">
        <f>DX37*DZ37</f>
        <v>0</v>
      </c>
      <c r="EI37" s="949">
        <f t="shared" si="10"/>
        <v>2030</v>
      </c>
    </row>
    <row r="38" spans="1:139" x14ac:dyDescent="0.3">
      <c r="A38" s="690"/>
      <c r="B38" s="690"/>
      <c r="C38" s="1121">
        <f>C37*2</f>
        <v>128</v>
      </c>
      <c r="D38" s="875">
        <f t="shared" ref="D38:D43" si="18">D37</f>
        <v>21474836.48</v>
      </c>
      <c r="E38" s="875">
        <f t="shared" si="15"/>
        <v>2748779069.4400001</v>
      </c>
      <c r="F38" s="410"/>
      <c r="G38" s="126" t="s">
        <v>732</v>
      </c>
      <c r="CU38" s="1162" t="s">
        <v>1435</v>
      </c>
      <c r="CV38" s="1160"/>
      <c r="CW38" s="1160"/>
      <c r="CX38" s="1160"/>
      <c r="CY38" s="1161" t="s">
        <v>1284</v>
      </c>
      <c r="CZ38" s="1164">
        <f>'POP Dimensions'!L16*600%</f>
        <v>2061584302.0799999</v>
      </c>
      <c r="DA38" s="88"/>
      <c r="DB38" s="88"/>
      <c r="DC38" s="253"/>
      <c r="DD38" s="88"/>
      <c r="DE38" s="181"/>
      <c r="DN38" s="332" t="s">
        <v>989</v>
      </c>
      <c r="DO38" s="953">
        <f>DO37+1</f>
        <v>2031</v>
      </c>
      <c r="DP38" s="691">
        <f>DP37+DR37</f>
        <v>109409574817671.25</v>
      </c>
      <c r="DQ38" s="894">
        <f>DQ37</f>
        <v>2.5000000000000001E-2</v>
      </c>
      <c r="DR38" s="691">
        <f>DP38*DQ38</f>
        <v>2735239370441.7813</v>
      </c>
      <c r="DT38" s="76"/>
      <c r="DU38" s="953">
        <f t="shared" ref="DU38:DU55" si="19">DU37+1</f>
        <v>2031</v>
      </c>
      <c r="DV38" s="691">
        <f>DV20</f>
        <v>10737418.24</v>
      </c>
      <c r="DW38" s="987">
        <v>64</v>
      </c>
      <c r="DX38" s="875">
        <f t="shared" si="16"/>
        <v>687194767.36000001</v>
      </c>
      <c r="DY38" s="977"/>
      <c r="DZ38" s="977"/>
      <c r="EA38" s="691">
        <f t="shared" si="17"/>
        <v>0</v>
      </c>
      <c r="EC38" s="691">
        <f t="shared" si="7"/>
        <v>0</v>
      </c>
      <c r="ED38" s="691">
        <f t="shared" ref="ED38:ED55" si="20">EC38+ED37-EH38</f>
        <v>10977936408.576</v>
      </c>
      <c r="EE38" s="894">
        <f t="shared" si="14"/>
        <v>0.125</v>
      </c>
      <c r="EF38" s="975">
        <f t="shared" si="11"/>
        <v>1372242051.072</v>
      </c>
      <c r="EG38" s="691">
        <f t="shared" si="13"/>
        <v>8361523322.01966</v>
      </c>
      <c r="EH38" s="183">
        <f t="shared" ref="EH38:EH55" si="21">DX38*DZ38</f>
        <v>0</v>
      </c>
      <c r="EI38" s="949">
        <f t="shared" si="10"/>
        <v>2031</v>
      </c>
    </row>
    <row r="39" spans="1:139" x14ac:dyDescent="0.3">
      <c r="A39" s="690"/>
      <c r="B39" s="690"/>
      <c r="C39" s="1151">
        <f>C38*2</f>
        <v>256</v>
      </c>
      <c r="D39" s="411">
        <f t="shared" si="18"/>
        <v>21474836.48</v>
      </c>
      <c r="E39" s="411">
        <f t="shared" si="15"/>
        <v>5497558138.8800001</v>
      </c>
      <c r="F39" s="896"/>
      <c r="G39" s="902" t="s">
        <v>732</v>
      </c>
      <c r="CU39" s="1163" t="s">
        <v>1436</v>
      </c>
      <c r="CY39" s="1155" t="s">
        <v>1279</v>
      </c>
      <c r="CZ39" s="1164">
        <v>-29500000000</v>
      </c>
      <c r="DA39" s="208">
        <v>0.05</v>
      </c>
      <c r="DB39" s="76">
        <f>CZ49*DA39</f>
        <v>29116113134.310211</v>
      </c>
      <c r="DC39" s="253" t="s">
        <v>1465</v>
      </c>
      <c r="DD39" s="88"/>
      <c r="DE39" s="181"/>
      <c r="DH39" s="616"/>
      <c r="DI39" s="617"/>
      <c r="DN39" s="332" t="s">
        <v>989</v>
      </c>
      <c r="DO39" s="953">
        <f>DO38+1</f>
        <v>2032</v>
      </c>
      <c r="DP39" s="691">
        <f>DP38+DR38</f>
        <v>112144814188113.03</v>
      </c>
      <c r="DQ39" s="894">
        <f>DQ38</f>
        <v>2.5000000000000001E-2</v>
      </c>
      <c r="DR39" s="691">
        <f>DP39*DQ39</f>
        <v>2803620354702.8262</v>
      </c>
      <c r="DS39" s="895" t="s">
        <v>1281</v>
      </c>
      <c r="DT39" s="76"/>
      <c r="DU39" s="953">
        <f t="shared" si="19"/>
        <v>2032</v>
      </c>
      <c r="DV39" s="691">
        <f t="shared" ref="DV39:DV55" si="22">DV29</f>
        <v>10737418.24</v>
      </c>
      <c r="DW39" s="987">
        <v>64</v>
      </c>
      <c r="DX39" s="875">
        <f t="shared" si="16"/>
        <v>687194767.36000001</v>
      </c>
      <c r="DY39" s="977"/>
      <c r="DZ39" s="977"/>
      <c r="EA39" s="691">
        <f t="shared" si="17"/>
        <v>0</v>
      </c>
      <c r="EC39" s="691">
        <f t="shared" si="7"/>
        <v>0</v>
      </c>
      <c r="ED39" s="691">
        <f t="shared" si="20"/>
        <v>10977936408.576</v>
      </c>
      <c r="EE39" s="894">
        <f t="shared" si="14"/>
        <v>0.125</v>
      </c>
      <c r="EF39" s="975">
        <f t="shared" si="11"/>
        <v>1372242051.072</v>
      </c>
      <c r="EG39" s="691">
        <f t="shared" si="13"/>
        <v>8361523322.01966</v>
      </c>
      <c r="EH39" s="183">
        <f t="shared" si="21"/>
        <v>0</v>
      </c>
      <c r="EI39" s="949">
        <f t="shared" si="10"/>
        <v>2032</v>
      </c>
    </row>
    <row r="40" spans="1:139" x14ac:dyDescent="0.3">
      <c r="A40" s="690"/>
      <c r="B40" s="690"/>
      <c r="C40" s="1152">
        <f t="shared" ref="C40:C43" si="23">C39*2</f>
        <v>512</v>
      </c>
      <c r="D40" s="897">
        <f t="shared" si="18"/>
        <v>21474836.48</v>
      </c>
      <c r="E40" s="897">
        <f t="shared" si="15"/>
        <v>10995116277.76</v>
      </c>
      <c r="F40" s="874"/>
      <c r="G40" s="903" t="s">
        <v>732</v>
      </c>
      <c r="CY40" s="1156" t="s">
        <v>1277</v>
      </c>
      <c r="CZ40" s="1164">
        <f>'POP Dimensions'!J17*2</f>
        <v>2748779069.4400001</v>
      </c>
      <c r="DA40" s="88"/>
      <c r="DB40" s="253"/>
      <c r="DC40" s="253"/>
      <c r="DD40" s="253"/>
      <c r="DE40" s="181"/>
      <c r="DH40" s="616"/>
      <c r="DI40" s="617"/>
      <c r="DN40" s="332" t="s">
        <v>989</v>
      </c>
      <c r="DO40" s="953">
        <f t="shared" ref="DO40:DO55" si="24">DO39+1</f>
        <v>2033</v>
      </c>
      <c r="DP40" s="691">
        <f t="shared" ref="DP40:DP55" si="25">DP39+DR39</f>
        <v>114948434542815.86</v>
      </c>
      <c r="DQ40" s="894">
        <f t="shared" ref="DQ40:DQ55" si="26">DQ39</f>
        <v>2.5000000000000001E-2</v>
      </c>
      <c r="DR40" s="691">
        <f t="shared" ref="DR40:DR55" si="27">DP40*DQ40</f>
        <v>2873710863570.3965</v>
      </c>
      <c r="DT40" s="76"/>
      <c r="DU40" s="953">
        <f t="shared" si="19"/>
        <v>2033</v>
      </c>
      <c r="DV40" s="691">
        <f t="shared" si="22"/>
        <v>10737418.24</v>
      </c>
      <c r="DW40" s="987">
        <v>64</v>
      </c>
      <c r="DX40" s="875">
        <f t="shared" si="16"/>
        <v>687194767.36000001</v>
      </c>
      <c r="DY40" s="969"/>
      <c r="DZ40" s="977"/>
      <c r="EA40" s="691">
        <f t="shared" si="17"/>
        <v>0</v>
      </c>
      <c r="EC40" s="691">
        <f t="shared" si="7"/>
        <v>0</v>
      </c>
      <c r="ED40" s="691">
        <f t="shared" si="20"/>
        <v>10977936408.576</v>
      </c>
      <c r="EE40" s="894">
        <f t="shared" si="14"/>
        <v>0.125</v>
      </c>
      <c r="EF40" s="975">
        <f t="shared" si="11"/>
        <v>1372242051.072</v>
      </c>
      <c r="EG40" s="691">
        <f t="shared" si="13"/>
        <v>8361523322.01966</v>
      </c>
      <c r="EH40" s="183">
        <f t="shared" si="21"/>
        <v>0</v>
      </c>
      <c r="EI40" s="949">
        <f t="shared" si="10"/>
        <v>2033</v>
      </c>
    </row>
    <row r="41" spans="1:139" x14ac:dyDescent="0.3">
      <c r="A41" s="690"/>
      <c r="B41" s="690"/>
      <c r="C41" s="1121">
        <f t="shared" si="23"/>
        <v>1024</v>
      </c>
      <c r="D41" s="875">
        <f t="shared" si="18"/>
        <v>21474836.48</v>
      </c>
      <c r="E41" s="875">
        <f t="shared" si="15"/>
        <v>21990232555.52</v>
      </c>
      <c r="F41" s="410"/>
      <c r="G41" s="126" t="s">
        <v>732</v>
      </c>
      <c r="CW41" s="173" t="s">
        <v>1433</v>
      </c>
      <c r="CX41" s="1158"/>
      <c r="CY41" s="1159" t="s">
        <v>1285</v>
      </c>
      <c r="CZ41" s="719">
        <f>'POP Dimensions'!H17*250%</f>
        <v>1717986918.4000001</v>
      </c>
      <c r="DA41" s="88"/>
      <c r="DB41" s="253"/>
      <c r="DC41" s="253"/>
      <c r="DD41" s="1215"/>
      <c r="DE41" s="181"/>
      <c r="DH41" s="12" t="s">
        <v>979</v>
      </c>
      <c r="DN41" s="332" t="s">
        <v>989</v>
      </c>
      <c r="DO41" s="953">
        <f t="shared" si="24"/>
        <v>2034</v>
      </c>
      <c r="DP41" s="691">
        <f t="shared" si="25"/>
        <v>117822145406386.25</v>
      </c>
      <c r="DQ41" s="894">
        <f t="shared" si="26"/>
        <v>2.5000000000000001E-2</v>
      </c>
      <c r="DR41" s="691">
        <f t="shared" si="27"/>
        <v>2945553635159.6563</v>
      </c>
      <c r="DT41" s="76"/>
      <c r="DU41" s="953">
        <f t="shared" si="19"/>
        <v>2034</v>
      </c>
      <c r="DV41" s="691">
        <f t="shared" si="22"/>
        <v>10737418.24</v>
      </c>
      <c r="DW41" s="987">
        <v>64</v>
      </c>
      <c r="DX41" s="875">
        <f t="shared" si="16"/>
        <v>687194767.36000001</v>
      </c>
      <c r="DY41" s="969"/>
      <c r="DZ41" s="977"/>
      <c r="EA41" s="691">
        <f t="shared" si="17"/>
        <v>0</v>
      </c>
      <c r="EC41" s="691">
        <f t="shared" si="7"/>
        <v>0</v>
      </c>
      <c r="ED41" s="691">
        <f t="shared" si="20"/>
        <v>10977936408.576</v>
      </c>
      <c r="EE41" s="894">
        <f t="shared" si="14"/>
        <v>0.125</v>
      </c>
      <c r="EF41" s="975">
        <f t="shared" si="11"/>
        <v>1372242051.072</v>
      </c>
      <c r="EG41" s="691">
        <f t="shared" si="13"/>
        <v>8361523322.01966</v>
      </c>
      <c r="EH41" s="183">
        <f t="shared" si="21"/>
        <v>0</v>
      </c>
      <c r="EI41" s="949">
        <f t="shared" si="10"/>
        <v>2034</v>
      </c>
    </row>
    <row r="42" spans="1:139" x14ac:dyDescent="0.3">
      <c r="A42" s="690"/>
      <c r="B42" s="690"/>
      <c r="C42" s="1153">
        <f t="shared" si="23"/>
        <v>2048</v>
      </c>
      <c r="D42" s="899">
        <f t="shared" si="18"/>
        <v>21474836.48</v>
      </c>
      <c r="E42" s="899">
        <f t="shared" si="15"/>
        <v>43980465111.040001</v>
      </c>
      <c r="F42" s="898"/>
      <c r="G42" s="905" t="s">
        <v>732</v>
      </c>
      <c r="CW42" s="618" t="s">
        <v>1434</v>
      </c>
      <c r="CY42" s="1155" t="s">
        <v>1278</v>
      </c>
      <c r="CZ42" s="1164">
        <f>'Network Cities'!S37*8</f>
        <v>23550000004</v>
      </c>
      <c r="DA42" s="88"/>
      <c r="DB42" s="253">
        <f>CZ49</f>
        <v>582322262686.20422</v>
      </c>
      <c r="DC42" s="253" t="s">
        <v>1494</v>
      </c>
      <c r="DD42" s="1215"/>
      <c r="DE42" s="181"/>
      <c r="DH42" s="12"/>
      <c r="DN42" s="332" t="s">
        <v>989</v>
      </c>
      <c r="DO42" s="953">
        <f t="shared" si="24"/>
        <v>2035</v>
      </c>
      <c r="DP42" s="691">
        <f t="shared" si="25"/>
        <v>120767699041545.91</v>
      </c>
      <c r="DQ42" s="894">
        <f t="shared" si="26"/>
        <v>2.5000000000000001E-2</v>
      </c>
      <c r="DR42" s="691">
        <f t="shared" si="27"/>
        <v>3019192476038.6479</v>
      </c>
      <c r="DT42" s="76"/>
      <c r="DU42" s="953">
        <f t="shared" si="19"/>
        <v>2035</v>
      </c>
      <c r="DV42" s="691">
        <f t="shared" si="22"/>
        <v>10737418.24</v>
      </c>
      <c r="DW42" s="987">
        <v>64</v>
      </c>
      <c r="DX42" s="875">
        <f t="shared" si="16"/>
        <v>687194767.36000001</v>
      </c>
      <c r="DY42" s="969"/>
      <c r="DZ42" s="977"/>
      <c r="EA42" s="691">
        <f t="shared" si="17"/>
        <v>0</v>
      </c>
      <c r="EC42" s="691">
        <f t="shared" si="7"/>
        <v>0</v>
      </c>
      <c r="ED42" s="691">
        <f t="shared" si="20"/>
        <v>10977936408.576</v>
      </c>
      <c r="EE42" s="894">
        <f t="shared" si="14"/>
        <v>0.125</v>
      </c>
      <c r="EF42" s="975">
        <f t="shared" si="11"/>
        <v>1372242051.072</v>
      </c>
      <c r="EG42" s="691">
        <f t="shared" si="13"/>
        <v>8361523322.01966</v>
      </c>
      <c r="EH42" s="183">
        <f t="shared" si="21"/>
        <v>0</v>
      </c>
      <c r="EI42" s="949">
        <f t="shared" si="10"/>
        <v>2035</v>
      </c>
    </row>
    <row r="43" spans="1:139" x14ac:dyDescent="0.3">
      <c r="A43" s="690"/>
      <c r="B43" s="690"/>
      <c r="C43" s="1154">
        <f t="shared" si="23"/>
        <v>4096</v>
      </c>
      <c r="D43" s="906">
        <f t="shared" si="18"/>
        <v>21474836.48</v>
      </c>
      <c r="E43" s="906">
        <f t="shared" si="15"/>
        <v>87960930222.080002</v>
      </c>
      <c r="F43" s="907"/>
      <c r="G43" s="908" t="s">
        <v>732</v>
      </c>
      <c r="CY43" s="1155" t="s">
        <v>1161</v>
      </c>
      <c r="CZ43" s="1164">
        <f>'POP Dimensions'!H17*300%</f>
        <v>2061584302.0799999</v>
      </c>
      <c r="DA43" s="88"/>
      <c r="DB43" s="748">
        <f>DP46</f>
        <v>133304942973178.83</v>
      </c>
      <c r="DC43" s="253" t="s">
        <v>1493</v>
      </c>
      <c r="DD43" s="253"/>
      <c r="DE43" s="181"/>
      <c r="DH43" s="12"/>
      <c r="DN43" s="332" t="s">
        <v>989</v>
      </c>
      <c r="DO43" s="953">
        <f t="shared" si="24"/>
        <v>2036</v>
      </c>
      <c r="DP43" s="691">
        <f t="shared" si="25"/>
        <v>123786891517584.55</v>
      </c>
      <c r="DQ43" s="894">
        <f t="shared" si="26"/>
        <v>2.5000000000000001E-2</v>
      </c>
      <c r="DR43" s="691">
        <f t="shared" si="27"/>
        <v>3094672287939.6138</v>
      </c>
      <c r="DT43" s="76"/>
      <c r="DU43" s="953">
        <f t="shared" si="19"/>
        <v>2036</v>
      </c>
      <c r="DV43" s="691">
        <f t="shared" si="22"/>
        <v>10737418.24</v>
      </c>
      <c r="DW43" s="987">
        <v>64</v>
      </c>
      <c r="DX43" s="875">
        <f t="shared" si="16"/>
        <v>687194767.36000001</v>
      </c>
      <c r="DY43" s="969"/>
      <c r="DZ43" s="977"/>
      <c r="EA43" s="691">
        <f t="shared" si="17"/>
        <v>0</v>
      </c>
      <c r="EC43" s="691">
        <f t="shared" si="7"/>
        <v>0</v>
      </c>
      <c r="ED43" s="691">
        <f t="shared" si="20"/>
        <v>10977936408.576</v>
      </c>
      <c r="EE43" s="894">
        <f t="shared" si="14"/>
        <v>0.125</v>
      </c>
      <c r="EF43" s="975">
        <f t="shared" si="11"/>
        <v>1372242051.072</v>
      </c>
      <c r="EG43" s="691">
        <f t="shared" si="13"/>
        <v>8361523322.01966</v>
      </c>
      <c r="EH43" s="183">
        <f t="shared" si="21"/>
        <v>0</v>
      </c>
      <c r="EI43" s="949">
        <f t="shared" si="10"/>
        <v>2036</v>
      </c>
    </row>
    <row r="44" spans="1:139" x14ac:dyDescent="0.3">
      <c r="A44" s="690"/>
      <c r="B44" s="690"/>
      <c r="CW44" s="1162" t="s">
        <v>1433</v>
      </c>
      <c r="CX44" s="1160"/>
      <c r="CY44" s="1161" t="s">
        <v>1249</v>
      </c>
      <c r="CZ44" s="1164">
        <f>'POP Dimensions'!J17*300%</f>
        <v>4123168604.1599998</v>
      </c>
      <c r="DA44" s="88"/>
      <c r="DB44" s="1264">
        <f>DB42/DB43</f>
        <v>4.3683471122550081E-3</v>
      </c>
      <c r="DC44" s="254" t="s">
        <v>1495</v>
      </c>
      <c r="DD44" s="253"/>
      <c r="DE44" s="181"/>
      <c r="DH44" s="12"/>
      <c r="DN44" s="332" t="s">
        <v>989</v>
      </c>
      <c r="DO44" s="953">
        <f t="shared" si="24"/>
        <v>2037</v>
      </c>
      <c r="DP44" s="691">
        <f t="shared" si="25"/>
        <v>126881563805524.16</v>
      </c>
      <c r="DQ44" s="894">
        <f t="shared" si="26"/>
        <v>2.5000000000000001E-2</v>
      </c>
      <c r="DR44" s="691">
        <f t="shared" si="27"/>
        <v>3172039095138.104</v>
      </c>
      <c r="DT44" s="76"/>
      <c r="DU44" s="953">
        <f t="shared" si="19"/>
        <v>2037</v>
      </c>
      <c r="DV44" s="691">
        <f t="shared" si="22"/>
        <v>10737418.24</v>
      </c>
      <c r="DW44" s="987">
        <v>64</v>
      </c>
      <c r="DX44" s="875">
        <f t="shared" si="16"/>
        <v>687194767.36000001</v>
      </c>
      <c r="DY44" s="969"/>
      <c r="DZ44" s="977"/>
      <c r="EA44" s="691">
        <f t="shared" si="17"/>
        <v>0</v>
      </c>
      <c r="EC44" s="691">
        <f t="shared" si="7"/>
        <v>0</v>
      </c>
      <c r="ED44" s="691">
        <f t="shared" si="20"/>
        <v>10977936408.576</v>
      </c>
      <c r="EE44" s="894">
        <f t="shared" si="14"/>
        <v>0.125</v>
      </c>
      <c r="EF44" s="975">
        <f t="shared" si="11"/>
        <v>1372242051.072</v>
      </c>
      <c r="EG44" s="691">
        <f t="shared" si="13"/>
        <v>8361523322.01966</v>
      </c>
      <c r="EH44" s="183">
        <f t="shared" si="21"/>
        <v>0</v>
      </c>
      <c r="EI44" s="949">
        <f t="shared" si="10"/>
        <v>2037</v>
      </c>
    </row>
    <row r="45" spans="1:139" x14ac:dyDescent="0.3">
      <c r="A45" s="690"/>
      <c r="B45" s="690"/>
      <c r="CW45" s="1163" t="s">
        <v>1437</v>
      </c>
      <c r="CY45" s="1157" t="s">
        <v>148</v>
      </c>
      <c r="CZ45" s="1164">
        <v>0</v>
      </c>
      <c r="DA45" s="88"/>
      <c r="DB45" s="254"/>
      <c r="DC45" s="254"/>
      <c r="DD45" s="253"/>
      <c r="DE45" s="181"/>
      <c r="DH45" s="12"/>
      <c r="DN45" s="332" t="s">
        <v>989</v>
      </c>
      <c r="DO45" s="953">
        <f t="shared" si="24"/>
        <v>2038</v>
      </c>
      <c r="DP45" s="691">
        <f t="shared" si="25"/>
        <v>130053602900662.27</v>
      </c>
      <c r="DQ45" s="894">
        <f t="shared" si="26"/>
        <v>2.5000000000000001E-2</v>
      </c>
      <c r="DR45" s="691">
        <f t="shared" si="27"/>
        <v>3251340072516.5566</v>
      </c>
      <c r="DT45" s="76"/>
      <c r="DU45" s="953">
        <f t="shared" si="19"/>
        <v>2038</v>
      </c>
      <c r="DV45" s="691">
        <f t="shared" si="22"/>
        <v>10737418.24</v>
      </c>
      <c r="DW45" s="987">
        <v>64</v>
      </c>
      <c r="DX45" s="875">
        <f t="shared" si="16"/>
        <v>687194767.36000001</v>
      </c>
      <c r="DY45" s="969"/>
      <c r="DZ45" s="977"/>
      <c r="EA45" s="691">
        <f t="shared" si="17"/>
        <v>0</v>
      </c>
      <c r="EC45" s="691">
        <f t="shared" si="7"/>
        <v>0</v>
      </c>
      <c r="ED45" s="691">
        <f t="shared" si="20"/>
        <v>10977936408.576</v>
      </c>
      <c r="EE45" s="894">
        <f t="shared" si="14"/>
        <v>0.125</v>
      </c>
      <c r="EF45" s="975">
        <f t="shared" si="11"/>
        <v>1372242051.072</v>
      </c>
      <c r="EG45" s="691">
        <f t="shared" si="13"/>
        <v>8361523322.01966</v>
      </c>
      <c r="EH45" s="183">
        <f t="shared" si="21"/>
        <v>0</v>
      </c>
      <c r="EI45" s="949">
        <f t="shared" si="10"/>
        <v>2038</v>
      </c>
    </row>
    <row r="46" spans="1:139" x14ac:dyDescent="0.3">
      <c r="A46" s="690"/>
      <c r="B46" s="690"/>
      <c r="CY46" s="1150" t="s">
        <v>948</v>
      </c>
      <c r="CZ46" s="1216">
        <f>'2038 - ŔÉŚ 15. Increase in Ŕ'!DF29</f>
        <v>28825575597.788696</v>
      </c>
      <c r="DA46" s="88"/>
      <c r="DB46" s="253"/>
      <c r="DC46" s="253"/>
      <c r="DD46" s="253"/>
      <c r="DE46" s="181" t="s">
        <v>805</v>
      </c>
      <c r="DF46" s="1" t="s">
        <v>998</v>
      </c>
      <c r="DH46" s="19">
        <v>0.01</v>
      </c>
      <c r="DN46" s="332" t="s">
        <v>989</v>
      </c>
      <c r="DO46" s="953">
        <f t="shared" si="24"/>
        <v>2039</v>
      </c>
      <c r="DP46" s="691">
        <f t="shared" si="25"/>
        <v>133304942973178.83</v>
      </c>
      <c r="DQ46" s="894">
        <f t="shared" si="26"/>
        <v>2.5000000000000001E-2</v>
      </c>
      <c r="DR46" s="691">
        <f t="shared" si="27"/>
        <v>3332623574329.4707</v>
      </c>
      <c r="DT46" s="76"/>
      <c r="DU46" s="953">
        <f t="shared" si="19"/>
        <v>2039</v>
      </c>
      <c r="DV46" s="691">
        <f t="shared" si="22"/>
        <v>10737418.24</v>
      </c>
      <c r="DW46" s="987">
        <v>64</v>
      </c>
      <c r="DX46" s="875">
        <f t="shared" si="16"/>
        <v>687194767.36000001</v>
      </c>
      <c r="DY46" s="969"/>
      <c r="DZ46" s="977"/>
      <c r="EA46" s="691">
        <f t="shared" si="17"/>
        <v>0</v>
      </c>
      <c r="EC46" s="691">
        <f t="shared" si="7"/>
        <v>0</v>
      </c>
      <c r="ED46" s="691">
        <f t="shared" si="20"/>
        <v>10977936408.576</v>
      </c>
      <c r="EE46" s="894">
        <f t="shared" si="14"/>
        <v>0.125</v>
      </c>
      <c r="EF46" s="975">
        <f t="shared" si="11"/>
        <v>1372242051.072</v>
      </c>
      <c r="EG46" s="691">
        <f t="shared" si="13"/>
        <v>8361523322.01966</v>
      </c>
      <c r="EH46" s="183">
        <f t="shared" si="21"/>
        <v>0</v>
      </c>
      <c r="EI46" s="949">
        <f t="shared" si="10"/>
        <v>2039</v>
      </c>
    </row>
    <row r="47" spans="1:139" x14ac:dyDescent="0.3">
      <c r="K47" s="690"/>
      <c r="CY47" s="122" t="s">
        <v>1385</v>
      </c>
      <c r="CZ47" s="183">
        <f>SUM(CZ35:CZ46)</f>
        <v>36619470948.988693</v>
      </c>
      <c r="DA47" s="251"/>
      <c r="DB47" s="76" t="s">
        <v>805</v>
      </c>
      <c r="DC47" s="691">
        <f>AE82</f>
        <v>6630548568.2489748</v>
      </c>
      <c r="DD47" s="76"/>
      <c r="DE47" s="691">
        <f>DC47</f>
        <v>6630548568.2489748</v>
      </c>
      <c r="DF47" s="691">
        <f>DP31</f>
        <v>92042471679365.094</v>
      </c>
      <c r="DG47" s="76"/>
      <c r="DH47" s="736">
        <f>DF47*DH46</f>
        <v>920424716793.651</v>
      </c>
      <c r="DI47" s="76"/>
      <c r="DJ47" s="208">
        <f>DH47/DE60</f>
        <v>1.5628157285354862</v>
      </c>
      <c r="DK47" s="76"/>
      <c r="DL47" s="76"/>
      <c r="DM47" s="76"/>
      <c r="DN47" s="332" t="s">
        <v>989</v>
      </c>
      <c r="DO47" s="953">
        <f t="shared" si="24"/>
        <v>2040</v>
      </c>
      <c r="DP47" s="691">
        <f t="shared" si="25"/>
        <v>136637566547508.3</v>
      </c>
      <c r="DQ47" s="894">
        <f t="shared" si="26"/>
        <v>2.5000000000000001E-2</v>
      </c>
      <c r="DR47" s="691">
        <f t="shared" si="27"/>
        <v>3415939163687.7075</v>
      </c>
      <c r="DT47" s="76"/>
      <c r="DU47" s="953">
        <f t="shared" si="19"/>
        <v>2040</v>
      </c>
      <c r="DV47" s="691">
        <f t="shared" si="22"/>
        <v>10737418.24</v>
      </c>
      <c r="DW47" s="987">
        <v>64</v>
      </c>
      <c r="DX47" s="875">
        <f t="shared" si="16"/>
        <v>687194767.36000001</v>
      </c>
      <c r="DY47" s="969"/>
      <c r="DZ47" s="977"/>
      <c r="EA47" s="691">
        <f t="shared" si="17"/>
        <v>0</v>
      </c>
      <c r="EC47" s="691">
        <f t="shared" si="7"/>
        <v>0</v>
      </c>
      <c r="ED47" s="691">
        <f t="shared" si="20"/>
        <v>10977936408.576</v>
      </c>
      <c r="EE47" s="894">
        <f t="shared" si="14"/>
        <v>0.125</v>
      </c>
      <c r="EF47" s="975">
        <f t="shared" si="11"/>
        <v>1372242051.072</v>
      </c>
      <c r="EG47" s="691">
        <f t="shared" si="13"/>
        <v>8361523322.01966</v>
      </c>
      <c r="EH47" s="183">
        <f t="shared" si="21"/>
        <v>0</v>
      </c>
      <c r="EI47" s="949">
        <f t="shared" si="10"/>
        <v>2040</v>
      </c>
    </row>
    <row r="48" spans="1:139" ht="16.2" thickBot="1" x14ac:dyDescent="0.35">
      <c r="CY48" s="1150" t="s">
        <v>309</v>
      </c>
      <c r="CZ48" s="182">
        <f>CZ47*CZ34</f>
        <v>880132797313.00598</v>
      </c>
      <c r="DD48" s="565" t="s">
        <v>894</v>
      </c>
      <c r="DE48" s="208">
        <f>DE32/DE47</f>
        <v>87.824145572918482</v>
      </c>
      <c r="DF48" s="367"/>
      <c r="DH48" s="192">
        <f>DE60</f>
        <v>588952811254.45325</v>
      </c>
      <c r="DI48" s="193"/>
      <c r="DJ48" s="1" t="s">
        <v>1339</v>
      </c>
      <c r="DN48" s="332" t="s">
        <v>989</v>
      </c>
      <c r="DO48" s="953">
        <f t="shared" si="24"/>
        <v>2041</v>
      </c>
      <c r="DP48" s="691">
        <f t="shared" si="25"/>
        <v>140053505711196</v>
      </c>
      <c r="DQ48" s="894">
        <f t="shared" si="26"/>
        <v>2.5000000000000001E-2</v>
      </c>
      <c r="DR48" s="691">
        <f t="shared" si="27"/>
        <v>3501337642779.9004</v>
      </c>
      <c r="DT48" s="76"/>
      <c r="DU48" s="953">
        <f t="shared" si="19"/>
        <v>2041</v>
      </c>
      <c r="DV48" s="691">
        <f t="shared" si="22"/>
        <v>10737418.24</v>
      </c>
      <c r="DW48" s="987">
        <v>64</v>
      </c>
      <c r="DX48" s="875">
        <f t="shared" si="16"/>
        <v>687194767.36000001</v>
      </c>
      <c r="DY48" s="969"/>
      <c r="DZ48" s="977"/>
      <c r="EA48" s="691">
        <f t="shared" si="17"/>
        <v>0</v>
      </c>
      <c r="EC48" s="691">
        <f t="shared" si="7"/>
        <v>0</v>
      </c>
      <c r="ED48" s="691">
        <f t="shared" si="20"/>
        <v>10977936408.576</v>
      </c>
      <c r="EE48" s="894">
        <f t="shared" si="14"/>
        <v>0.125</v>
      </c>
      <c r="EF48" s="975">
        <f t="shared" si="11"/>
        <v>1372242051.072</v>
      </c>
      <c r="EG48" s="691">
        <f t="shared" si="13"/>
        <v>8361523322.01966</v>
      </c>
      <c r="EH48" s="183">
        <f t="shared" si="21"/>
        <v>0</v>
      </c>
      <c r="EI48" s="949">
        <f t="shared" si="10"/>
        <v>2041</v>
      </c>
    </row>
    <row r="49" spans="3:139" ht="16.2" thickBot="1" x14ac:dyDescent="0.35">
      <c r="C49" s="1" t="s">
        <v>801</v>
      </c>
      <c r="CY49" s="1150" t="s">
        <v>308</v>
      </c>
      <c r="CZ49" s="182">
        <f>CZ48*DA49</f>
        <v>582322262686.20422</v>
      </c>
      <c r="DA49" s="680">
        <v>0.66163000000000005</v>
      </c>
      <c r="DB49" s="1" t="s">
        <v>1275</v>
      </c>
      <c r="DD49" s="565" t="s">
        <v>888</v>
      </c>
      <c r="DE49" s="953">
        <v>8</v>
      </c>
      <c r="DF49" s="1" t="s">
        <v>889</v>
      </c>
      <c r="DJ49" s="1" t="s">
        <v>1340</v>
      </c>
      <c r="DN49" s="332" t="s">
        <v>989</v>
      </c>
      <c r="DO49" s="953">
        <f t="shared" si="24"/>
        <v>2042</v>
      </c>
      <c r="DP49" s="691">
        <f t="shared" si="25"/>
        <v>143554843353975.91</v>
      </c>
      <c r="DQ49" s="894">
        <f t="shared" si="26"/>
        <v>2.5000000000000001E-2</v>
      </c>
      <c r="DR49" s="691">
        <f t="shared" si="27"/>
        <v>3588871083849.3979</v>
      </c>
      <c r="DT49" s="76"/>
      <c r="DU49" s="953">
        <f t="shared" si="19"/>
        <v>2042</v>
      </c>
      <c r="DV49" s="691">
        <f t="shared" si="22"/>
        <v>10737418.24</v>
      </c>
      <c r="DW49" s="987">
        <v>64</v>
      </c>
      <c r="DX49" s="875">
        <f t="shared" si="16"/>
        <v>687194767.36000001</v>
      </c>
      <c r="DY49" s="969"/>
      <c r="DZ49" s="977"/>
      <c r="EA49" s="691">
        <f t="shared" si="17"/>
        <v>0</v>
      </c>
      <c r="EC49" s="691">
        <f t="shared" si="7"/>
        <v>0</v>
      </c>
      <c r="ED49" s="691">
        <f t="shared" si="20"/>
        <v>10977936408.576</v>
      </c>
      <c r="EE49" s="894">
        <f t="shared" si="14"/>
        <v>0.125</v>
      </c>
      <c r="EF49" s="975">
        <f t="shared" si="11"/>
        <v>1372242051.072</v>
      </c>
      <c r="EG49" s="691">
        <f t="shared" si="13"/>
        <v>8361523322.01966</v>
      </c>
      <c r="EH49" s="183">
        <f t="shared" si="21"/>
        <v>0</v>
      </c>
      <c r="EI49" s="949">
        <f t="shared" si="10"/>
        <v>2042</v>
      </c>
    </row>
    <row r="50" spans="3:139" x14ac:dyDescent="0.3">
      <c r="C50" s="13"/>
      <c r="D50" s="4"/>
      <c r="E50" s="120" t="s">
        <v>275</v>
      </c>
      <c r="F50" s="4"/>
      <c r="G50" s="173" t="s">
        <v>288</v>
      </c>
      <c r="H50" s="462" t="s">
        <v>1367</v>
      </c>
      <c r="I50" s="170" t="s">
        <v>1373</v>
      </c>
      <c r="J50" s="175" t="s">
        <v>297</v>
      </c>
      <c r="K50" s="170" t="s">
        <v>802</v>
      </c>
      <c r="CZ50" s="239"/>
      <c r="DB50" s="1" t="s">
        <v>1276</v>
      </c>
      <c r="DD50" s="565" t="s">
        <v>890</v>
      </c>
      <c r="DE50" s="208">
        <f>DE48/DE49</f>
        <v>10.97801819661481</v>
      </c>
      <c r="DN50" s="332" t="s">
        <v>989</v>
      </c>
      <c r="DO50" s="953">
        <f t="shared" si="24"/>
        <v>2043</v>
      </c>
      <c r="DP50" s="691">
        <f t="shared" si="25"/>
        <v>147143714437825.31</v>
      </c>
      <c r="DQ50" s="894">
        <f t="shared" si="26"/>
        <v>2.5000000000000001E-2</v>
      </c>
      <c r="DR50" s="691">
        <f t="shared" si="27"/>
        <v>3678592860945.6328</v>
      </c>
      <c r="DT50" s="76"/>
      <c r="DU50" s="953">
        <f t="shared" si="19"/>
        <v>2043</v>
      </c>
      <c r="DV50" s="691">
        <f t="shared" si="22"/>
        <v>10737418.24</v>
      </c>
      <c r="DW50" s="987">
        <v>64</v>
      </c>
      <c r="DX50" s="875">
        <f t="shared" si="16"/>
        <v>687194767.36000001</v>
      </c>
      <c r="DY50" s="969"/>
      <c r="DZ50" s="977"/>
      <c r="EA50" s="691">
        <f t="shared" si="17"/>
        <v>0</v>
      </c>
      <c r="EC50" s="691">
        <f t="shared" si="7"/>
        <v>0</v>
      </c>
      <c r="ED50" s="691">
        <f t="shared" si="20"/>
        <v>10977936408.576</v>
      </c>
      <c r="EE50" s="894">
        <f t="shared" si="14"/>
        <v>0.125</v>
      </c>
      <c r="EF50" s="975">
        <f t="shared" si="11"/>
        <v>1372242051.072</v>
      </c>
      <c r="EG50" s="691">
        <f t="shared" si="13"/>
        <v>8361523322.01966</v>
      </c>
      <c r="EH50" s="183">
        <f t="shared" si="21"/>
        <v>0</v>
      </c>
      <c r="EI50" s="949">
        <f t="shared" si="10"/>
        <v>2043</v>
      </c>
    </row>
    <row r="51" spans="3:139" x14ac:dyDescent="0.3">
      <c r="C51" s="122"/>
      <c r="D51" s="7"/>
      <c r="E51" s="875">
        <f>E8</f>
        <v>36619470948.988693</v>
      </c>
      <c r="F51" s="7"/>
      <c r="G51" s="468" t="s">
        <v>1386</v>
      </c>
      <c r="H51" s="469"/>
      <c r="I51" s="470"/>
      <c r="J51" s="471"/>
      <c r="K51" s="470"/>
      <c r="CZ51" s="277" t="s">
        <v>748</v>
      </c>
      <c r="DD51" s="239"/>
      <c r="DE51" s="76"/>
      <c r="DN51" s="332" t="s">
        <v>989</v>
      </c>
      <c r="DO51" s="953">
        <f t="shared" si="24"/>
        <v>2044</v>
      </c>
      <c r="DP51" s="691">
        <f t="shared" si="25"/>
        <v>150822307298770.94</v>
      </c>
      <c r="DQ51" s="894">
        <f t="shared" si="26"/>
        <v>2.5000000000000001E-2</v>
      </c>
      <c r="DR51" s="691">
        <f t="shared" si="27"/>
        <v>3770557682469.2734</v>
      </c>
      <c r="DT51" s="76"/>
      <c r="DU51" s="953">
        <f t="shared" si="19"/>
        <v>2044</v>
      </c>
      <c r="DV51" s="691">
        <f t="shared" si="22"/>
        <v>10737418.24</v>
      </c>
      <c r="DW51" s="987">
        <v>64</v>
      </c>
      <c r="DX51" s="875">
        <f t="shared" si="16"/>
        <v>687194767.36000001</v>
      </c>
      <c r="DY51" s="969"/>
      <c r="DZ51" s="977"/>
      <c r="EA51" s="691">
        <f t="shared" si="17"/>
        <v>0</v>
      </c>
      <c r="EC51" s="691">
        <f t="shared" si="7"/>
        <v>0</v>
      </c>
      <c r="ED51" s="691">
        <f t="shared" si="20"/>
        <v>10977936408.576</v>
      </c>
      <c r="EE51" s="894">
        <f t="shared" si="14"/>
        <v>0.125</v>
      </c>
      <c r="EF51" s="975">
        <f t="shared" si="11"/>
        <v>1372242051.072</v>
      </c>
      <c r="EG51" s="691">
        <f t="shared" si="13"/>
        <v>8361523322.01966</v>
      </c>
      <c r="EH51" s="183">
        <f t="shared" si="21"/>
        <v>0</v>
      </c>
      <c r="EI51" s="949">
        <f t="shared" si="10"/>
        <v>2044</v>
      </c>
    </row>
    <row r="52" spans="3:139" ht="16.2" thickBot="1" x14ac:dyDescent="0.35">
      <c r="C52" s="122"/>
      <c r="D52" s="7"/>
      <c r="E52" s="7"/>
      <c r="F52" s="127"/>
      <c r="G52" s="127" t="s">
        <v>280</v>
      </c>
      <c r="H52" s="7"/>
      <c r="I52" s="459" t="s">
        <v>282</v>
      </c>
      <c r="J52" s="122"/>
      <c r="K52" s="8"/>
      <c r="CZ52" s="277" t="s">
        <v>747</v>
      </c>
      <c r="DB52" s="110" t="s">
        <v>746</v>
      </c>
      <c r="DD52" s="565" t="s">
        <v>891</v>
      </c>
      <c r="DE52" s="76"/>
      <c r="DN52" s="332" t="s">
        <v>989</v>
      </c>
      <c r="DO52" s="953">
        <f t="shared" si="24"/>
        <v>2045</v>
      </c>
      <c r="DP52" s="691">
        <f t="shared" si="25"/>
        <v>154592864981240.22</v>
      </c>
      <c r="DQ52" s="894">
        <f t="shared" si="26"/>
        <v>2.5000000000000001E-2</v>
      </c>
      <c r="DR52" s="691">
        <f t="shared" si="27"/>
        <v>3864821624531.0059</v>
      </c>
      <c r="DT52" s="76"/>
      <c r="DU52" s="953">
        <f t="shared" si="19"/>
        <v>2045</v>
      </c>
      <c r="DV52" s="691">
        <f t="shared" si="22"/>
        <v>10737418.24</v>
      </c>
      <c r="DW52" s="987">
        <v>64</v>
      </c>
      <c r="DX52" s="875">
        <f t="shared" si="16"/>
        <v>687194767.36000001</v>
      </c>
      <c r="DY52" s="969"/>
      <c r="DZ52" s="977"/>
      <c r="EA52" s="691">
        <f t="shared" si="17"/>
        <v>0</v>
      </c>
      <c r="EC52" s="691">
        <f t="shared" si="7"/>
        <v>0</v>
      </c>
      <c r="ED52" s="691">
        <f t="shared" si="20"/>
        <v>10977936408.576</v>
      </c>
      <c r="EE52" s="894">
        <f t="shared" si="14"/>
        <v>0.125</v>
      </c>
      <c r="EF52" s="975">
        <f t="shared" si="11"/>
        <v>1372242051.072</v>
      </c>
      <c r="EG52" s="691">
        <f t="shared" si="13"/>
        <v>8361523322.01966</v>
      </c>
      <c r="EH52" s="183">
        <f t="shared" si="21"/>
        <v>0</v>
      </c>
      <c r="EI52" s="949">
        <f t="shared" si="10"/>
        <v>2045</v>
      </c>
    </row>
    <row r="53" spans="3:139" ht="16.2" thickBot="1" x14ac:dyDescent="0.35">
      <c r="C53" s="122"/>
      <c r="D53" s="7"/>
      <c r="E53" s="7"/>
      <c r="F53" s="129">
        <v>0.25</v>
      </c>
      <c r="G53" s="130">
        <f>E57*F53</f>
        <v>508797328.29557794</v>
      </c>
      <c r="H53" s="460">
        <v>0.5</v>
      </c>
      <c r="I53" s="130">
        <f>G53*H53</f>
        <v>254398664.14778897</v>
      </c>
      <c r="J53" s="460">
        <v>0</v>
      </c>
      <c r="K53" s="458">
        <f>I53*J53</f>
        <v>0</v>
      </c>
      <c r="CX53" s="933">
        <f>DA53</f>
        <v>2048</v>
      </c>
      <c r="CY53" s="927" t="s">
        <v>745</v>
      </c>
      <c r="CZ53" s="578">
        <f>DB53*DA53</f>
        <v>43980465111.040001</v>
      </c>
      <c r="DA53" s="934">
        <v>2048</v>
      </c>
      <c r="DB53" s="578">
        <f>'POP Dimensions'!J15</f>
        <v>21474836.48</v>
      </c>
      <c r="DC53" s="239"/>
      <c r="DD53" s="565" t="s">
        <v>901</v>
      </c>
      <c r="DE53" s="484">
        <v>0.17</v>
      </c>
      <c r="DF53" s="1" t="s">
        <v>895</v>
      </c>
      <c r="DN53" s="332" t="s">
        <v>989</v>
      </c>
      <c r="DO53" s="953">
        <f t="shared" si="24"/>
        <v>2046</v>
      </c>
      <c r="DP53" s="691">
        <f t="shared" si="25"/>
        <v>158457686605771.22</v>
      </c>
      <c r="DQ53" s="894">
        <f t="shared" si="26"/>
        <v>2.5000000000000001E-2</v>
      </c>
      <c r="DR53" s="691">
        <f t="shared" si="27"/>
        <v>3961442165144.2808</v>
      </c>
      <c r="DT53" s="76"/>
      <c r="DU53" s="953">
        <f t="shared" si="19"/>
        <v>2046</v>
      </c>
      <c r="DV53" s="691">
        <f t="shared" si="22"/>
        <v>10737418.24</v>
      </c>
      <c r="DW53" s="987">
        <v>64</v>
      </c>
      <c r="DX53" s="875">
        <f t="shared" si="16"/>
        <v>687194767.36000001</v>
      </c>
      <c r="DY53" s="969"/>
      <c r="DZ53" s="977"/>
      <c r="EA53" s="691">
        <f t="shared" si="17"/>
        <v>0</v>
      </c>
      <c r="EC53" s="691">
        <f t="shared" si="7"/>
        <v>0</v>
      </c>
      <c r="ED53" s="691">
        <f t="shared" si="20"/>
        <v>10977936408.576</v>
      </c>
      <c r="EE53" s="894">
        <f t="shared" si="14"/>
        <v>0.125</v>
      </c>
      <c r="EF53" s="975">
        <f t="shared" si="11"/>
        <v>1372242051.072</v>
      </c>
      <c r="EG53" s="691">
        <f t="shared" si="13"/>
        <v>8361523322.01966</v>
      </c>
      <c r="EH53" s="183">
        <f t="shared" si="21"/>
        <v>0</v>
      </c>
      <c r="EI53" s="949">
        <f t="shared" si="10"/>
        <v>2046</v>
      </c>
    </row>
    <row r="54" spans="3:139" ht="16.2" thickBot="1" x14ac:dyDescent="0.35">
      <c r="C54" s="122"/>
      <c r="D54" s="7"/>
      <c r="E54" s="7"/>
      <c r="F54" s="133"/>
      <c r="G54" s="134" t="s">
        <v>290</v>
      </c>
      <c r="H54" s="7"/>
      <c r="I54" s="457" t="s">
        <v>283</v>
      </c>
      <c r="J54" s="122"/>
      <c r="K54" s="8"/>
      <c r="CX54" s="927"/>
      <c r="CZ54" s="999" t="s">
        <v>1355</v>
      </c>
      <c r="DA54" s="254"/>
      <c r="DB54" s="248" t="s">
        <v>1290</v>
      </c>
      <c r="DD54" s="566"/>
      <c r="DE54" s="76"/>
      <c r="DN54" s="332" t="s">
        <v>989</v>
      </c>
      <c r="DO54" s="953">
        <f t="shared" si="24"/>
        <v>2047</v>
      </c>
      <c r="DP54" s="691">
        <f t="shared" si="25"/>
        <v>162419128770915.5</v>
      </c>
      <c r="DQ54" s="894">
        <f t="shared" si="26"/>
        <v>2.5000000000000001E-2</v>
      </c>
      <c r="DR54" s="691">
        <f t="shared" si="27"/>
        <v>4060478219272.8877</v>
      </c>
      <c r="DT54" s="76"/>
      <c r="DU54" s="953">
        <f t="shared" si="19"/>
        <v>2047</v>
      </c>
      <c r="DV54" s="691">
        <f t="shared" si="22"/>
        <v>10737418.24</v>
      </c>
      <c r="DW54" s="987">
        <v>64</v>
      </c>
      <c r="DX54" s="875">
        <f t="shared" si="16"/>
        <v>687194767.36000001</v>
      </c>
      <c r="DY54" s="969"/>
      <c r="DZ54" s="977"/>
      <c r="EA54" s="691">
        <f t="shared" si="17"/>
        <v>0</v>
      </c>
      <c r="EC54" s="691">
        <f t="shared" si="7"/>
        <v>0</v>
      </c>
      <c r="ED54" s="691">
        <f t="shared" si="20"/>
        <v>10977936408.576</v>
      </c>
      <c r="EE54" s="894">
        <f t="shared" si="14"/>
        <v>0.125</v>
      </c>
      <c r="EF54" s="975">
        <f t="shared" si="11"/>
        <v>1372242051.072</v>
      </c>
      <c r="EG54" s="691">
        <f t="shared" si="13"/>
        <v>8361523322.01966</v>
      </c>
      <c r="EH54" s="183">
        <f t="shared" si="21"/>
        <v>0</v>
      </c>
      <c r="EI54" s="949">
        <f t="shared" si="10"/>
        <v>2047</v>
      </c>
    </row>
    <row r="55" spans="3:139" ht="16.2" thickBot="1" x14ac:dyDescent="0.35">
      <c r="C55" s="122"/>
      <c r="D55" s="7"/>
      <c r="E55" s="7"/>
      <c r="F55" s="133">
        <v>0.25</v>
      </c>
      <c r="G55" s="135">
        <f>E57*F55</f>
        <v>508797328.29557794</v>
      </c>
      <c r="H55" s="461">
        <v>0.9</v>
      </c>
      <c r="I55" s="135">
        <f>G55*H55</f>
        <v>457917595.46602017</v>
      </c>
      <c r="J55" s="461">
        <v>0</v>
      </c>
      <c r="K55" s="440">
        <f>I55*J55</f>
        <v>0</v>
      </c>
      <c r="CX55" s="239"/>
      <c r="CZ55" s="1002" t="s">
        <v>867</v>
      </c>
      <c r="DA55" s="254"/>
      <c r="DB55" s="253"/>
      <c r="DD55" s="239"/>
      <c r="DE55" s="484">
        <v>0.17</v>
      </c>
      <c r="DF55" s="32">
        <f>DE55</f>
        <v>0.17</v>
      </c>
      <c r="DN55" s="332" t="s">
        <v>989</v>
      </c>
      <c r="DO55" s="953">
        <f t="shared" si="24"/>
        <v>2048</v>
      </c>
      <c r="DP55" s="691">
        <f t="shared" si="25"/>
        <v>166479606990188.38</v>
      </c>
      <c r="DQ55" s="894">
        <f t="shared" si="26"/>
        <v>2.5000000000000001E-2</v>
      </c>
      <c r="DR55" s="691">
        <f t="shared" si="27"/>
        <v>4161990174754.7095</v>
      </c>
      <c r="DS55" s="895" t="s">
        <v>1280</v>
      </c>
      <c r="DT55" s="76"/>
      <c r="DU55" s="953">
        <f t="shared" si="19"/>
        <v>2048</v>
      </c>
      <c r="DV55" s="691">
        <f t="shared" si="22"/>
        <v>10737418.24</v>
      </c>
      <c r="DW55" s="987">
        <v>64</v>
      </c>
      <c r="DX55" s="875">
        <f t="shared" si="16"/>
        <v>687194767.36000001</v>
      </c>
      <c r="DY55" s="969"/>
      <c r="DZ55" s="977"/>
      <c r="EA55" s="691">
        <f t="shared" si="17"/>
        <v>0</v>
      </c>
      <c r="EC55" s="691">
        <f t="shared" si="7"/>
        <v>0</v>
      </c>
      <c r="ED55" s="691">
        <f t="shared" si="20"/>
        <v>10977936408.576</v>
      </c>
      <c r="EE55" s="894">
        <f t="shared" si="14"/>
        <v>0.125</v>
      </c>
      <c r="EF55" s="975">
        <f t="shared" si="11"/>
        <v>1372242051.072</v>
      </c>
      <c r="EG55" s="691">
        <f t="shared" si="13"/>
        <v>8361523322.01966</v>
      </c>
      <c r="EH55" s="183">
        <f t="shared" si="21"/>
        <v>0</v>
      </c>
      <c r="EI55" s="949">
        <f t="shared" si="10"/>
        <v>2048</v>
      </c>
    </row>
    <row r="56" spans="3:139" ht="18.600000000000001" thickBot="1" x14ac:dyDescent="0.4">
      <c r="C56" s="122"/>
      <c r="D56" s="7"/>
      <c r="E56" s="7"/>
      <c r="F56" s="136"/>
      <c r="G56" s="136" t="s">
        <v>279</v>
      </c>
      <c r="H56" s="7"/>
      <c r="I56" s="451" t="s">
        <v>284</v>
      </c>
      <c r="J56" s="122"/>
      <c r="K56" s="8"/>
      <c r="S56" s="88"/>
      <c r="CX56" s="239"/>
      <c r="CZ56" s="719">
        <f>CZ48-CZ53</f>
        <v>836152332201.96594</v>
      </c>
      <c r="DA56" s="253"/>
      <c r="DB56" s="253"/>
      <c r="DC56" s="253"/>
      <c r="DD56" s="239" t="s">
        <v>892</v>
      </c>
      <c r="DE56" s="615">
        <f>DF58</f>
        <v>64.576577627145937</v>
      </c>
      <c r="DF56" s="569" t="s">
        <v>980</v>
      </c>
      <c r="DG56" s="569"/>
      <c r="DH56" s="181"/>
      <c r="DI56" s="181"/>
      <c r="DJ56" s="252"/>
      <c r="DK56" s="252"/>
      <c r="DL56" s="252"/>
      <c r="DM56" s="252"/>
      <c r="DS56" s="1"/>
      <c r="DY56" s="979">
        <f>SUM(DY22:DY55)</f>
        <v>15.975</v>
      </c>
      <c r="DZ56" s="979">
        <f>SUM(DZ22:DZ55)</f>
        <v>0</v>
      </c>
    </row>
    <row r="57" spans="3:139" ht="16.8" thickTop="1" thickBot="1" x14ac:dyDescent="0.35">
      <c r="C57" s="137" t="s">
        <v>291</v>
      </c>
      <c r="D57" s="138">
        <f>E57/E51</f>
        <v>5.5576698964803502E-2</v>
      </c>
      <c r="E57" s="139">
        <f>E14</f>
        <v>2035189313.1823118</v>
      </c>
      <c r="F57" s="140">
        <v>0.5</v>
      </c>
      <c r="G57" s="139">
        <f>E57*F57</f>
        <v>1017594656.5911559</v>
      </c>
      <c r="H57" s="463">
        <v>0.95</v>
      </c>
      <c r="I57" s="139">
        <f>G57*H57</f>
        <v>966714923.76159799</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7" t="s">
        <v>1293</v>
      </c>
      <c r="CZ57" s="1003"/>
      <c r="DA57" s="253"/>
      <c r="DB57" s="877" t="s">
        <v>1293</v>
      </c>
      <c r="DC57" s="252"/>
      <c r="DD57" s="239"/>
      <c r="DE57" s="208">
        <f>DE50</f>
        <v>10.97801819661481</v>
      </c>
      <c r="DF57" s="80">
        <f>DE57</f>
        <v>10.97801819661481</v>
      </c>
      <c r="EC57" s="77" t="s">
        <v>966</v>
      </c>
      <c r="ED57" s="77"/>
      <c r="EE57" s="77" t="s">
        <v>965</v>
      </c>
      <c r="EF57" s="77"/>
      <c r="EG57" s="77"/>
    </row>
    <row r="58" spans="3:139"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7" t="s">
        <v>1294</v>
      </c>
      <c r="CZ58" s="996">
        <f>CZ56*DA58</f>
        <v>8361523322.01966</v>
      </c>
      <c r="DA58" s="923">
        <v>0.01</v>
      </c>
      <c r="DB58" s="924" t="s">
        <v>1443</v>
      </c>
      <c r="DC58" s="925"/>
      <c r="DD58" s="239"/>
      <c r="DE58" s="76"/>
      <c r="DF58" s="1">
        <f>DF57/DF55</f>
        <v>64.576577627145937</v>
      </c>
      <c r="EC58" s="77" t="s">
        <v>785</v>
      </c>
      <c r="ED58" s="77"/>
      <c r="EE58" s="77" t="s">
        <v>962</v>
      </c>
      <c r="EF58" s="77"/>
      <c r="EG58" s="77"/>
    </row>
    <row r="59" spans="3:139"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909"/>
      <c r="BQ59" s="909"/>
      <c r="BR59" s="909"/>
      <c r="BS59" s="909"/>
      <c r="BT59" s="909"/>
      <c r="BU59" s="909"/>
      <c r="BV59" s="909"/>
      <c r="BW59" s="909"/>
      <c r="BX59" s="909"/>
      <c r="BY59" s="909"/>
      <c r="BZ59" s="909"/>
      <c r="CA59" s="909"/>
      <c r="CB59" s="909"/>
      <c r="CC59" s="909"/>
      <c r="CD59" s="909"/>
      <c r="CE59" s="909"/>
      <c r="CF59" s="909"/>
      <c r="CG59" s="909"/>
      <c r="CH59" s="909"/>
      <c r="CI59" s="909"/>
      <c r="CJ59" s="909"/>
      <c r="CK59" s="909"/>
      <c r="CL59" s="909"/>
      <c r="CM59" s="909"/>
      <c r="CN59" s="909"/>
      <c r="CO59" s="909"/>
      <c r="CP59" s="909"/>
      <c r="CQ59" s="909"/>
      <c r="CR59" s="909"/>
      <c r="CS59" s="909"/>
      <c r="CT59" s="909"/>
      <c r="CU59" s="909"/>
      <c r="CV59" s="76"/>
      <c r="CW59" s="410"/>
      <c r="CX59" s="928"/>
      <c r="CY59" s="948" t="s">
        <v>1295</v>
      </c>
      <c r="CZ59" s="911">
        <f>CZ56*DA59</f>
        <v>16723046644.03932</v>
      </c>
      <c r="DA59" s="912">
        <v>0.02</v>
      </c>
      <c r="DB59" s="875" t="s">
        <v>1162</v>
      </c>
      <c r="DC59" s="126"/>
      <c r="DD59" s="239"/>
      <c r="DE59" s="76"/>
      <c r="DJ59" s="32"/>
    </row>
    <row r="60" spans="3:139" ht="16.2" thickBot="1" x14ac:dyDescent="0.35">
      <c r="C60" s="397" t="s">
        <v>276</v>
      </c>
      <c r="D60" s="398">
        <f>100%-D57-D63</f>
        <v>0.78125</v>
      </c>
      <c r="E60" s="399">
        <f>E51*D60</f>
        <v>28608961678.897415</v>
      </c>
      <c r="F60" s="400">
        <v>1</v>
      </c>
      <c r="G60" s="399">
        <f>E60*F60</f>
        <v>28608961678.897415</v>
      </c>
      <c r="H60" s="464">
        <v>0.9</v>
      </c>
      <c r="I60" s="399">
        <f>G60*H60</f>
        <v>25748065511.007675</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8" t="s">
        <v>1296</v>
      </c>
      <c r="CZ60" s="911">
        <f>CZ56*DA60</f>
        <v>33446093288.07864</v>
      </c>
      <c r="DA60" s="912">
        <v>0.04</v>
      </c>
      <c r="DB60" s="875" t="s">
        <v>1441</v>
      </c>
      <c r="DC60" s="126"/>
      <c r="DD60" s="239"/>
      <c r="DE60" s="691">
        <f>DE32+DE47</f>
        <v>588952811254.45325</v>
      </c>
      <c r="DF60" s="1" t="s">
        <v>958</v>
      </c>
      <c r="DS60" s="1"/>
      <c r="DW60" s="1"/>
      <c r="EH60" s="1"/>
      <c r="EI60" s="1"/>
    </row>
    <row r="61" spans="3:139"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10"/>
      <c r="CX61" s="927"/>
      <c r="CY61" s="948" t="s">
        <v>1297</v>
      </c>
      <c r="CZ61" s="911">
        <f>CZ56*DA61</f>
        <v>50169139932.117958</v>
      </c>
      <c r="DA61" s="912">
        <v>0.06</v>
      </c>
      <c r="DB61" s="875" t="s">
        <v>1303</v>
      </c>
      <c r="DC61" s="126"/>
      <c r="DD61" s="253"/>
      <c r="DE61" s="647">
        <f>DE60/DE47</f>
        <v>88.824145572918496</v>
      </c>
    </row>
    <row r="62" spans="3:139"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8" t="s">
        <v>1300</v>
      </c>
      <c r="CZ62" s="911">
        <f>CZ56*DA62</f>
        <v>75253709898.176926</v>
      </c>
      <c r="DA62" s="912">
        <v>0.09</v>
      </c>
      <c r="DB62" s="410" t="s">
        <v>1442</v>
      </c>
      <c r="DC62" s="126"/>
      <c r="DD62" s="253"/>
    </row>
    <row r="63" spans="3:139" ht="16.2" thickBot="1" x14ac:dyDescent="0.35">
      <c r="C63" s="149" t="s">
        <v>737</v>
      </c>
      <c r="D63" s="150">
        <f>E63/E51</f>
        <v>0.16317330103519651</v>
      </c>
      <c r="E63" s="151">
        <f>E21</f>
        <v>5975319956.9089651</v>
      </c>
      <c r="F63" s="152">
        <v>0.3</v>
      </c>
      <c r="G63" s="151">
        <f>E63*F63</f>
        <v>1792595987.0726895</v>
      </c>
      <c r="H63" s="465">
        <v>0.9</v>
      </c>
      <c r="I63" s="151">
        <f>G63*H63</f>
        <v>1613336388.3654206</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26"/>
      <c r="CV63" s="410"/>
      <c r="CW63" s="410"/>
      <c r="CX63" s="927"/>
      <c r="CY63" s="948" t="s">
        <v>1305</v>
      </c>
      <c r="CZ63" s="911">
        <f>CZ56*DA63</f>
        <v>33446093288.07864</v>
      </c>
      <c r="DA63" s="912">
        <v>0.04</v>
      </c>
      <c r="DB63" s="410" t="s">
        <v>148</v>
      </c>
      <c r="DC63" s="126"/>
      <c r="DD63" s="253"/>
    </row>
    <row r="64" spans="3:139"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64"/>
      <c r="CW64" s="106"/>
      <c r="CX64" s="929"/>
      <c r="CY64" s="938"/>
      <c r="CZ64" s="1004"/>
      <c r="DA64" s="1005"/>
      <c r="DB64" s="1005"/>
      <c r="DC64" s="903"/>
      <c r="DD64" s="253"/>
    </row>
    <row r="65" spans="3:139" ht="16.2" thickBot="1" x14ac:dyDescent="0.35">
      <c r="C65" s="141"/>
      <c r="D65" s="429"/>
      <c r="E65" s="371"/>
      <c r="F65" s="430">
        <v>0.25</v>
      </c>
      <c r="G65" s="432">
        <f>E63*F65</f>
        <v>1493829989.2272413</v>
      </c>
      <c r="H65" s="466">
        <v>0.95</v>
      </c>
      <c r="I65" s="432">
        <f>G65*H65</f>
        <v>1419138489.7658792</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64"/>
      <c r="CW65" s="106"/>
      <c r="CX65" s="927"/>
      <c r="CY65" s="939" t="s">
        <v>1299</v>
      </c>
      <c r="CZ65" s="1006">
        <f>CZ53</f>
        <v>43980465111.040001</v>
      </c>
      <c r="DA65" s="935">
        <f>CZ65/CZ56</f>
        <v>5.2598627567323308E-2</v>
      </c>
      <c r="DB65" s="898" t="s">
        <v>1311</v>
      </c>
      <c r="DC65" s="905"/>
      <c r="DD65" s="253"/>
    </row>
    <row r="66" spans="3:139"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64"/>
      <c r="CW66" s="106"/>
      <c r="CX66" s="106"/>
      <c r="CY66" s="940" t="s">
        <v>1325</v>
      </c>
      <c r="CZ66" s="930">
        <f>CZ56*DA66</f>
        <v>8361523322.01966</v>
      </c>
      <c r="DA66" s="931">
        <v>0.01</v>
      </c>
      <c r="DB66" s="898" t="s">
        <v>1315</v>
      </c>
      <c r="DC66" s="905"/>
      <c r="DD66" s="946">
        <v>272</v>
      </c>
      <c r="DE66" s="181" t="s">
        <v>1314</v>
      </c>
    </row>
    <row r="67" spans="3:139" ht="16.2" thickBot="1" x14ac:dyDescent="0.35">
      <c r="C67" s="122"/>
      <c r="D67" s="7"/>
      <c r="E67" s="7"/>
      <c r="F67" s="153">
        <v>0.2</v>
      </c>
      <c r="G67" s="99">
        <f>E63*F67</f>
        <v>1195063991.381793</v>
      </c>
      <c r="H67" s="467">
        <v>0.9</v>
      </c>
      <c r="I67" s="99">
        <f>G67*H67</f>
        <v>1075557592.2436137</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64"/>
      <c r="CW67" s="106"/>
      <c r="CX67" s="106"/>
      <c r="CY67" s="940" t="s">
        <v>1307</v>
      </c>
      <c r="CZ67" s="930">
        <f>CZ56*DA67</f>
        <v>41807616610.098297</v>
      </c>
      <c r="DA67" s="931">
        <v>0.05</v>
      </c>
      <c r="DB67" s="898" t="s">
        <v>1323</v>
      </c>
      <c r="DC67" s="905"/>
      <c r="DD67" s="945">
        <v>100</v>
      </c>
      <c r="DE67" s="938">
        <f>DD66*DD67</f>
        <v>27200</v>
      </c>
      <c r="DF67" s="1" t="s">
        <v>1316</v>
      </c>
    </row>
    <row r="68" spans="3:139"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64"/>
      <c r="CW68" s="106"/>
      <c r="CX68" s="251"/>
      <c r="CY68" s="940" t="s">
        <v>1308</v>
      </c>
      <c r="CZ68" s="930">
        <f>CZ56*DA68</f>
        <v>25084569966.058979</v>
      </c>
      <c r="DA68" s="931">
        <v>0.03</v>
      </c>
      <c r="DB68" s="898" t="s">
        <v>1438</v>
      </c>
      <c r="DC68" s="905"/>
      <c r="DD68" s="600"/>
      <c r="DE68" s="1">
        <v>1000</v>
      </c>
      <c r="DF68" s="1" t="s">
        <v>226</v>
      </c>
    </row>
    <row r="69" spans="3:139" ht="16.2" thickBot="1" x14ac:dyDescent="0.35">
      <c r="C69" s="122"/>
      <c r="D69" s="7"/>
      <c r="E69" s="7"/>
      <c r="F69" s="438">
        <v>0.2</v>
      </c>
      <c r="G69" s="446">
        <f>E63*F69</f>
        <v>1195063991.381793</v>
      </c>
      <c r="H69" s="447">
        <v>0.25</v>
      </c>
      <c r="I69" s="446">
        <f>G69*H69</f>
        <v>298765997.84544826</v>
      </c>
      <c r="J69" s="447">
        <v>0</v>
      </c>
      <c r="K69" s="439">
        <f>I69*J69</f>
        <v>0</v>
      </c>
      <c r="Q69" s="240" t="s">
        <v>952</v>
      </c>
      <c r="S69" s="88"/>
      <c r="W69" s="691">
        <f>DC47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8"/>
      <c r="CW69" s="88"/>
      <c r="CX69" s="88"/>
      <c r="CY69" s="940" t="s">
        <v>1317</v>
      </c>
      <c r="CZ69" s="930">
        <f>CZ56*DA69</f>
        <v>25084569966.058979</v>
      </c>
      <c r="DA69" s="931">
        <v>0.03</v>
      </c>
      <c r="DB69" s="898" t="s">
        <v>1356</v>
      </c>
      <c r="DC69" s="905"/>
      <c r="DD69" s="601"/>
      <c r="DE69" s="1">
        <f>DE67*DE68</f>
        <v>27200000</v>
      </c>
      <c r="DF69" s="1" t="s">
        <v>1320</v>
      </c>
    </row>
    <row r="70" spans="3:139" x14ac:dyDescent="0.3">
      <c r="C70" s="122"/>
      <c r="D70" s="7"/>
      <c r="E70" s="7"/>
      <c r="F70" s="142"/>
      <c r="G70" s="371"/>
      <c r="H70" s="142"/>
      <c r="I70" s="434"/>
      <c r="J70" s="142"/>
      <c r="K70" s="434"/>
      <c r="L70" s="240" t="s">
        <v>1367</v>
      </c>
      <c r="O70" s="240" t="s">
        <v>803</v>
      </c>
      <c r="Q70" s="951">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8"/>
      <c r="CW70" s="88"/>
      <c r="CX70" s="88"/>
      <c r="CY70" s="940" t="s">
        <v>1318</v>
      </c>
      <c r="CZ70" s="930">
        <f>CZ56*DA70</f>
        <v>25084569966.058979</v>
      </c>
      <c r="DA70" s="931">
        <v>0.03</v>
      </c>
      <c r="DB70" s="898" t="s">
        <v>1357</v>
      </c>
      <c r="DC70" s="905"/>
      <c r="DD70" s="600"/>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55">
        <f>DA53</f>
        <v>2048</v>
      </c>
      <c r="U71" s="77" t="s">
        <v>804</v>
      </c>
      <c r="V71" s="947"/>
      <c r="W71" s="319">
        <v>0.3</v>
      </c>
      <c r="Y71" s="76" t="s">
        <v>893</v>
      </c>
      <c r="Z71" s="76"/>
      <c r="AA71" s="77" t="s">
        <v>1332</v>
      </c>
      <c r="AB71" s="88"/>
      <c r="AE71" s="958"/>
      <c r="AF71" s="644" t="s">
        <v>986</v>
      </c>
      <c r="AG71" s="958"/>
      <c r="CT71" s="88"/>
      <c r="CU71" s="88"/>
      <c r="CV71" s="958"/>
      <c r="CW71" s="88"/>
      <c r="CX71" s="88"/>
      <c r="CY71" s="940" t="s">
        <v>1319</v>
      </c>
      <c r="CZ71" s="930">
        <f>CZ56*DA71</f>
        <v>25084569966.058979</v>
      </c>
      <c r="DA71" s="931">
        <v>0.03</v>
      </c>
      <c r="DB71" s="898" t="s">
        <v>1358</v>
      </c>
      <c r="DC71" s="905"/>
      <c r="DD71" s="936"/>
    </row>
    <row r="72" spans="3:139" x14ac:dyDescent="0.3">
      <c r="C72" s="158"/>
      <c r="D72" s="10"/>
      <c r="E72" s="10"/>
      <c r="F72" s="10"/>
      <c r="G72" s="159">
        <f>SUM(G53:G71)</f>
        <v>36320704951.143242</v>
      </c>
      <c r="H72" s="160"/>
      <c r="I72" s="172">
        <f>SUM(I53:I71)</f>
        <v>31833895162.603447</v>
      </c>
      <c r="J72" s="158"/>
      <c r="K72" s="481">
        <f>SUM(K53:K71)</f>
        <v>0</v>
      </c>
      <c r="L72" s="482">
        <f>CZ34</f>
        <v>24.034557968875088</v>
      </c>
      <c r="M72" s="480">
        <f>K72*L72</f>
        <v>0</v>
      </c>
      <c r="N72" s="239"/>
      <c r="O72" s="950">
        <f>DA53</f>
        <v>2048</v>
      </c>
      <c r="P72" s="239"/>
      <c r="Q72" s="480">
        <f>M72*O72</f>
        <v>0</v>
      </c>
      <c r="R72" s="239"/>
      <c r="S72" s="956">
        <f>M72*S71</f>
        <v>0</v>
      </c>
      <c r="T72" s="239"/>
      <c r="U72" s="910">
        <f>Q72+S72</f>
        <v>0</v>
      </c>
      <c r="V72" s="949" t="s">
        <v>1330</v>
      </c>
      <c r="W72" s="910">
        <f>W69*W71</f>
        <v>1989164570.4746923</v>
      </c>
      <c r="X72" s="949" t="s">
        <v>1330</v>
      </c>
      <c r="Y72" s="910">
        <f>CZ59+CZ60+CZ61+CZ62+CZ63</f>
        <v>209038083050.49149</v>
      </c>
      <c r="Z72" s="949" t="s">
        <v>1331</v>
      </c>
      <c r="AA72" s="910">
        <f>U72+W72+Y72</f>
        <v>211027247620.96619</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958"/>
      <c r="BP72" s="958"/>
      <c r="BQ72" s="958"/>
      <c r="BR72" s="958"/>
      <c r="BS72" s="958"/>
      <c r="BT72" s="958"/>
      <c r="BU72" s="958"/>
      <c r="BV72" s="958"/>
      <c r="BW72" s="958"/>
      <c r="BX72" s="958"/>
      <c r="BY72" s="958"/>
      <c r="BZ72" s="958"/>
      <c r="CA72" s="958"/>
      <c r="CB72" s="958"/>
      <c r="CC72" s="958"/>
      <c r="CD72" s="958"/>
      <c r="CE72" s="958"/>
      <c r="CF72" s="958"/>
      <c r="CG72" s="958"/>
      <c r="CH72" s="958"/>
      <c r="CI72" s="958"/>
      <c r="CJ72" s="958"/>
      <c r="CK72" s="958"/>
      <c r="CL72" s="958"/>
      <c r="CM72" s="958"/>
      <c r="CN72" s="958"/>
      <c r="CO72" s="958"/>
      <c r="CP72" s="958"/>
      <c r="CQ72" s="958"/>
      <c r="CR72" s="958"/>
      <c r="CS72" s="958"/>
      <c r="CT72" s="958"/>
      <c r="CU72" s="181"/>
      <c r="CV72" s="958"/>
      <c r="CW72" s="88"/>
      <c r="CX72" s="88"/>
      <c r="CY72" s="940" t="s">
        <v>1312</v>
      </c>
      <c r="CZ72" s="930">
        <f>CZ56*DA72</f>
        <v>25084569966.058979</v>
      </c>
      <c r="DA72" s="931">
        <v>0.03</v>
      </c>
      <c r="DB72" s="898" t="s">
        <v>1359</v>
      </c>
      <c r="DC72" s="905"/>
      <c r="DD72" s="812"/>
    </row>
    <row r="73" spans="3:139"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CU73" s="88"/>
      <c r="CV73" s="88"/>
      <c r="CW73" s="88"/>
      <c r="CX73" s="88"/>
      <c r="CY73" s="940" t="s">
        <v>1313</v>
      </c>
      <c r="CZ73" s="930">
        <f>CZ56*DA73</f>
        <v>41807616610.098297</v>
      </c>
      <c r="DA73" s="931">
        <v>0.05</v>
      </c>
      <c r="DB73" s="898" t="s">
        <v>1361</v>
      </c>
      <c r="DC73" s="905"/>
      <c r="DD73" s="255"/>
    </row>
    <row r="74" spans="3:139"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CU74" s="88"/>
      <c r="CV74" s="252"/>
      <c r="CW74" s="252"/>
      <c r="CX74" s="252"/>
      <c r="CY74" s="940" t="s">
        <v>1324</v>
      </c>
      <c r="CZ74" s="930">
        <f>CZ56*DA74</f>
        <v>83615233220.196594</v>
      </c>
      <c r="DA74" s="931">
        <v>0.1</v>
      </c>
      <c r="DB74" s="898" t="s">
        <v>1439</v>
      </c>
      <c r="DC74" s="905"/>
      <c r="DD74" s="255"/>
    </row>
    <row r="75" spans="3:139"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77" si="30">AD74+1</f>
        <v>2017</v>
      </c>
      <c r="AE75" s="691">
        <f t="shared" ref="AE75:AE106" si="31">AE74+AG74</f>
        <v>5578050000</v>
      </c>
      <c r="AF75" s="963">
        <f t="shared" si="28"/>
        <v>2.5000000000000001E-2</v>
      </c>
      <c r="AG75" s="691">
        <f t="shared" si="29"/>
        <v>139451250</v>
      </c>
      <c r="CU75" s="88"/>
      <c r="CV75" s="252"/>
      <c r="CW75" s="88"/>
      <c r="CX75" s="88"/>
      <c r="CY75" s="940" t="s">
        <v>1306</v>
      </c>
      <c r="CZ75" s="930">
        <f>CZ56*DA75</f>
        <v>16723046644.03932</v>
      </c>
      <c r="DA75" s="931">
        <v>0.02</v>
      </c>
      <c r="DB75" s="899" t="s">
        <v>1360</v>
      </c>
      <c r="DC75" s="932"/>
      <c r="DD75" s="255"/>
    </row>
    <row r="76" spans="3:139" x14ac:dyDescent="0.3">
      <c r="R76" s="88"/>
      <c r="S76" s="252"/>
      <c r="T76" s="88"/>
      <c r="U76" s="88"/>
      <c r="V76" s="88"/>
      <c r="W76" s="88"/>
      <c r="X76" s="88"/>
      <c r="Y76" s="88"/>
      <c r="Z76" s="361" t="s">
        <v>1347</v>
      </c>
      <c r="AA76" s="736">
        <f>AA72</f>
        <v>211027247620.96619</v>
      </c>
      <c r="AB76" s="88"/>
      <c r="AD76" s="960">
        <f t="shared" si="30"/>
        <v>2018</v>
      </c>
      <c r="AE76" s="691">
        <f t="shared" si="31"/>
        <v>5717501250</v>
      </c>
      <c r="AF76" s="963">
        <f t="shared" si="28"/>
        <v>2.5000000000000001E-2</v>
      </c>
      <c r="AG76" s="691">
        <f t="shared" si="29"/>
        <v>142937531.25</v>
      </c>
      <c r="CU76" s="88"/>
      <c r="CV76" s="252"/>
      <c r="CW76" s="88"/>
      <c r="CX76" s="88"/>
      <c r="CY76" s="941" t="s">
        <v>1309</v>
      </c>
      <c r="CZ76" s="930">
        <f>CZ56*DA76</f>
        <v>16723046644.03932</v>
      </c>
      <c r="DA76" s="931">
        <v>0.02</v>
      </c>
      <c r="DB76" s="899" t="s">
        <v>1440</v>
      </c>
      <c r="DC76" s="932"/>
      <c r="DD76" s="255"/>
    </row>
    <row r="77" spans="3:139"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CU77" s="88"/>
      <c r="CV77" s="88"/>
      <c r="CW77" s="88"/>
      <c r="CX77" s="88"/>
      <c r="CY77" s="940" t="s">
        <v>1310</v>
      </c>
      <c r="CZ77" s="904">
        <f>CZ56*DA77</f>
        <v>41807616610.098297</v>
      </c>
      <c r="DA77" s="1065">
        <v>0.05</v>
      </c>
      <c r="DB77" s="898" t="s">
        <v>1362</v>
      </c>
      <c r="DC77" s="905"/>
      <c r="DD77" s="255"/>
    </row>
    <row r="78" spans="3:139" x14ac:dyDescent="0.3">
      <c r="R78" s="88"/>
      <c r="S78" s="252"/>
      <c r="T78" s="88"/>
      <c r="U78" s="88"/>
      <c r="V78" s="88"/>
      <c r="W78" s="88"/>
      <c r="X78" s="88"/>
      <c r="Y78" s="88"/>
      <c r="Z78" s="555" t="s">
        <v>1333</v>
      </c>
      <c r="AA78" s="957">
        <f>AA72/W72</f>
        <v>106.08838039509564</v>
      </c>
      <c r="AB78" s="252"/>
      <c r="AD78" s="960">
        <f t="shared" ref="AD78:AD106" si="32">AD77+1</f>
        <v>2020</v>
      </c>
      <c r="AE78" s="691">
        <f t="shared" si="31"/>
        <v>6006949750.78125</v>
      </c>
      <c r="AF78" s="963">
        <f t="shared" si="28"/>
        <v>2.5000000000000001E-2</v>
      </c>
      <c r="AG78" s="691">
        <f t="shared" si="29"/>
        <v>150173743.76953125</v>
      </c>
      <c r="CU78" s="88"/>
      <c r="CV78" s="88"/>
      <c r="CW78" s="88"/>
      <c r="CX78" s="88"/>
      <c r="CY78" s="940" t="s">
        <v>1452</v>
      </c>
      <c r="CZ78" s="904">
        <f>CZ56*DA78</f>
        <v>41807616610.098297</v>
      </c>
      <c r="DA78" s="1065">
        <v>0.05</v>
      </c>
      <c r="DB78" s="898" t="s">
        <v>1450</v>
      </c>
      <c r="DC78" s="905"/>
      <c r="DD78" s="255"/>
    </row>
    <row r="79" spans="3:139" x14ac:dyDescent="0.3">
      <c r="R79" s="88"/>
      <c r="S79" s="252"/>
      <c r="T79" s="88"/>
      <c r="U79" s="88"/>
      <c r="V79" s="88"/>
      <c r="W79" s="88"/>
      <c r="X79" s="88"/>
      <c r="AB79" s="252"/>
      <c r="AD79" s="960">
        <f t="shared" si="32"/>
        <v>2021</v>
      </c>
      <c r="AE79" s="691">
        <f t="shared" si="31"/>
        <v>6157123494.5507813</v>
      </c>
      <c r="AF79" s="963">
        <f t="shared" si="28"/>
        <v>2.5000000000000001E-2</v>
      </c>
      <c r="AG79" s="691">
        <f t="shared" si="29"/>
        <v>153928087.36376953</v>
      </c>
      <c r="CU79" s="88"/>
      <c r="CV79" s="88"/>
      <c r="CW79" s="88"/>
      <c r="CX79" s="88"/>
      <c r="CY79" s="940" t="s">
        <v>1454</v>
      </c>
      <c r="CZ79" s="904">
        <f>CZ56*DA79</f>
        <v>41807616610.098297</v>
      </c>
      <c r="DA79" s="1065">
        <v>0.05</v>
      </c>
      <c r="DB79" s="898" t="s">
        <v>1455</v>
      </c>
      <c r="DC79" s="905"/>
      <c r="DD79" s="255"/>
    </row>
    <row r="80" spans="3:139" x14ac:dyDescent="0.3">
      <c r="R80" s="88"/>
      <c r="S80" s="252"/>
      <c r="T80" s="88"/>
      <c r="U80" s="88"/>
      <c r="V80" s="88"/>
      <c r="W80" s="88"/>
      <c r="X80" s="88"/>
      <c r="Y80" s="88"/>
      <c r="Z80" s="88"/>
      <c r="AA80" s="88"/>
      <c r="AB80" s="88"/>
      <c r="AD80" s="960">
        <f t="shared" si="32"/>
        <v>2022</v>
      </c>
      <c r="AE80" s="691">
        <f t="shared" si="31"/>
        <v>6311051581.9145508</v>
      </c>
      <c r="AF80" s="963">
        <f t="shared" si="28"/>
        <v>2.5000000000000001E-2</v>
      </c>
      <c r="AG80" s="691">
        <f t="shared" si="29"/>
        <v>157776289.54786378</v>
      </c>
      <c r="CU80" s="88"/>
      <c r="CV80" s="88"/>
      <c r="CW80" s="88"/>
      <c r="CX80" s="88"/>
      <c r="CY80" s="940" t="s">
        <v>1326</v>
      </c>
      <c r="CZ80" s="904">
        <f>CZ56*DA80</f>
        <v>33446093288.07864</v>
      </c>
      <c r="DA80" s="1065">
        <v>0.04</v>
      </c>
      <c r="DB80" s="898" t="s">
        <v>1348</v>
      </c>
      <c r="DC80" s="905"/>
      <c r="DD80" s="251"/>
    </row>
    <row r="81" spans="18:109" x14ac:dyDescent="0.3">
      <c r="R81" s="88"/>
      <c r="S81" s="252"/>
      <c r="T81" s="88"/>
      <c r="U81" s="88"/>
      <c r="V81" s="88"/>
      <c r="W81" s="88"/>
      <c r="Y81" s="88"/>
      <c r="Z81" s="88"/>
      <c r="AA81" s="88"/>
      <c r="AB81" s="88"/>
      <c r="AD81" s="960">
        <f t="shared" si="32"/>
        <v>2023</v>
      </c>
      <c r="AE81" s="691">
        <f t="shared" si="31"/>
        <v>6468827871.4624147</v>
      </c>
      <c r="AF81" s="963">
        <f t="shared" si="28"/>
        <v>2.5000000000000001E-2</v>
      </c>
      <c r="AG81" s="691">
        <f t="shared" si="29"/>
        <v>161720696.78656039</v>
      </c>
      <c r="CU81" s="88"/>
      <c r="CV81" s="88"/>
      <c r="CW81" s="88"/>
      <c r="CX81" s="88"/>
      <c r="CY81" s="940" t="s">
        <v>1298</v>
      </c>
      <c r="CZ81" s="930">
        <f>CZ56*DA81</f>
        <v>33446093288.07864</v>
      </c>
      <c r="DA81" s="931">
        <v>0.04</v>
      </c>
      <c r="DB81" s="898" t="s">
        <v>1363</v>
      </c>
      <c r="DC81" s="905"/>
      <c r="DD81" s="251"/>
    </row>
    <row r="82" spans="18:109" x14ac:dyDescent="0.3">
      <c r="R82" s="88"/>
      <c r="S82" s="252"/>
      <c r="T82" s="88"/>
      <c r="U82" s="88"/>
      <c r="V82" s="88"/>
      <c r="W82" s="88"/>
      <c r="X82" s="88"/>
      <c r="AB82" s="88"/>
      <c r="AD82" s="965">
        <f t="shared" si="32"/>
        <v>2024</v>
      </c>
      <c r="AE82" s="182">
        <f t="shared" si="31"/>
        <v>6630548568.2489748</v>
      </c>
      <c r="AF82" s="966">
        <f t="shared" si="28"/>
        <v>2.5000000000000001E-2</v>
      </c>
      <c r="AG82" s="967">
        <f t="shared" si="29"/>
        <v>165763714.20622438</v>
      </c>
      <c r="CU82" s="88"/>
      <c r="CV82" s="88"/>
      <c r="CW82" s="88"/>
      <c r="CX82" s="88"/>
      <c r="CY82" s="942"/>
      <c r="CZ82" s="1067"/>
      <c r="DA82" s="1068">
        <f>SUM(DA58:DA81)</f>
        <v>0.94259862756732371</v>
      </c>
      <c r="DB82" s="1069"/>
      <c r="DC82" s="1070"/>
      <c r="DD82" s="251"/>
    </row>
    <row r="83" spans="18:109" x14ac:dyDescent="0.3">
      <c r="R83" s="88"/>
      <c r="S83" s="252"/>
      <c r="T83" s="88"/>
      <c r="U83" s="88"/>
      <c r="V83" s="88"/>
      <c r="W83" s="88"/>
      <c r="X83" s="88"/>
      <c r="AB83" s="88"/>
      <c r="AD83" s="960">
        <f t="shared" si="32"/>
        <v>2025</v>
      </c>
      <c r="AE83" s="691">
        <f t="shared" si="31"/>
        <v>6796312282.4551992</v>
      </c>
      <c r="AF83" s="963">
        <f t="shared" si="28"/>
        <v>2.5000000000000001E-2</v>
      </c>
      <c r="AG83" s="691">
        <f t="shared" si="29"/>
        <v>169907807.06138</v>
      </c>
      <c r="CU83" s="88"/>
      <c r="CV83" s="88"/>
      <c r="CW83" s="88"/>
      <c r="CX83" s="88"/>
      <c r="CY83" s="941" t="s">
        <v>1321</v>
      </c>
      <c r="CZ83" s="904">
        <f>CZ56*DA83</f>
        <v>47996291431.175919</v>
      </c>
      <c r="DA83" s="1065">
        <f>100%-DA82</f>
        <v>5.740137243267629E-2</v>
      </c>
      <c r="DB83" s="898" t="s">
        <v>148</v>
      </c>
      <c r="DC83" s="905"/>
      <c r="DD83" s="251"/>
    </row>
    <row r="84" spans="18:109" x14ac:dyDescent="0.3">
      <c r="R84" s="88"/>
      <c r="S84" s="88"/>
      <c r="T84" s="88"/>
      <c r="U84" s="88"/>
      <c r="V84" s="88"/>
      <c r="W84" s="88"/>
      <c r="X84" s="88"/>
      <c r="Y84" s="88"/>
      <c r="Z84" s="88"/>
      <c r="AA84" s="88"/>
      <c r="AB84" s="88"/>
      <c r="AD84" s="960">
        <f t="shared" si="32"/>
        <v>2026</v>
      </c>
      <c r="AE84" s="691">
        <f t="shared" si="31"/>
        <v>6966220089.5165796</v>
      </c>
      <c r="AF84" s="963">
        <f t="shared" si="28"/>
        <v>2.5000000000000001E-2</v>
      </c>
      <c r="AG84" s="691">
        <f t="shared" si="29"/>
        <v>174155502.2379145</v>
      </c>
      <c r="CU84" s="88"/>
      <c r="CV84" s="88"/>
      <c r="CW84" s="88"/>
      <c r="CX84" s="88"/>
      <c r="CY84" s="943" t="s">
        <v>1322</v>
      </c>
      <c r="CZ84" s="1071">
        <f>SUM(CZ58:CZ83)</f>
        <v>836152332201.96533</v>
      </c>
      <c r="DA84" s="1072">
        <f>DA82+DA83</f>
        <v>1</v>
      </c>
      <c r="DB84" s="1073" t="s">
        <v>59</v>
      </c>
      <c r="DC84" s="1074"/>
      <c r="DD84" s="251"/>
    </row>
    <row r="85" spans="18:109" x14ac:dyDescent="0.3">
      <c r="R85" s="88"/>
      <c r="S85" s="88"/>
      <c r="T85" s="88"/>
      <c r="U85" s="88"/>
      <c r="V85" s="88"/>
      <c r="AD85" s="960">
        <f t="shared" si="32"/>
        <v>2027</v>
      </c>
      <c r="AE85" s="691">
        <f t="shared" si="31"/>
        <v>7140375591.7544937</v>
      </c>
      <c r="AF85" s="963">
        <f t="shared" si="28"/>
        <v>2.5000000000000001E-2</v>
      </c>
      <c r="AG85" s="691">
        <f t="shared" si="29"/>
        <v>178509389.79386234</v>
      </c>
      <c r="CU85" s="88"/>
      <c r="CV85" s="88"/>
      <c r="CW85" s="88"/>
      <c r="CX85" s="88"/>
      <c r="CY85" s="943" t="s">
        <v>1329</v>
      </c>
      <c r="CZ85" s="179">
        <f>CZ59+CZ60+CZ61+CZ62+CZ63</f>
        <v>209038083050.49149</v>
      </c>
      <c r="DA85" s="160"/>
      <c r="DB85" s="160" t="s">
        <v>1364</v>
      </c>
      <c r="DC85" s="303"/>
      <c r="DD85" s="251"/>
    </row>
    <row r="86" spans="18:109" x14ac:dyDescent="0.3">
      <c r="AD86" s="960">
        <f t="shared" si="32"/>
        <v>2028</v>
      </c>
      <c r="AE86" s="691">
        <f t="shared" si="31"/>
        <v>7318884981.5483561</v>
      </c>
      <c r="AF86" s="963">
        <f t="shared" si="28"/>
        <v>2.5000000000000001E-2</v>
      </c>
      <c r="AG86" s="691">
        <f t="shared" si="29"/>
        <v>182972124.53870893</v>
      </c>
      <c r="CU86" s="88"/>
      <c r="CV86" s="88"/>
      <c r="CW86" s="88"/>
      <c r="CX86" s="88"/>
      <c r="CY86" s="364"/>
      <c r="CZ86" s="1075"/>
      <c r="DA86" s="1076"/>
      <c r="DB86" s="1076"/>
      <c r="DC86" s="1077"/>
      <c r="DD86" s="251"/>
    </row>
    <row r="87" spans="18:109" x14ac:dyDescent="0.3">
      <c r="AD87" s="960">
        <f t="shared" si="32"/>
        <v>2029</v>
      </c>
      <c r="AE87" s="691">
        <f t="shared" si="31"/>
        <v>7501857106.0870647</v>
      </c>
      <c r="AF87" s="963">
        <f t="shared" si="28"/>
        <v>2.5000000000000001E-2</v>
      </c>
      <c r="AG87" s="691">
        <f t="shared" si="29"/>
        <v>187546427.65217662</v>
      </c>
      <c r="CU87" s="88"/>
      <c r="CV87" s="88"/>
      <c r="CW87" s="88"/>
      <c r="CX87" s="88"/>
      <c r="CY87" s="1007" t="s">
        <v>1336</v>
      </c>
      <c r="CZ87" s="1066">
        <f>AA72</f>
        <v>211027247620.96619</v>
      </c>
      <c r="DA87" s="251" t="s">
        <v>1335</v>
      </c>
      <c r="DB87" s="251"/>
      <c r="DC87" s="251"/>
      <c r="DD87" s="251"/>
    </row>
    <row r="88" spans="18:109" x14ac:dyDescent="0.3">
      <c r="AD88" s="960">
        <f t="shared" si="32"/>
        <v>2030</v>
      </c>
      <c r="AE88" s="691">
        <f t="shared" si="31"/>
        <v>7689403533.7392416</v>
      </c>
      <c r="AF88" s="963">
        <f t="shared" si="28"/>
        <v>2.5000000000000001E-2</v>
      </c>
      <c r="AG88" s="691">
        <f t="shared" si="29"/>
        <v>192235088.34348106</v>
      </c>
      <c r="CU88" s="88"/>
      <c r="CV88" s="88"/>
      <c r="CW88" s="88"/>
      <c r="CX88" s="88"/>
      <c r="CY88" s="1008" t="s">
        <v>1337</v>
      </c>
      <c r="CZ88" s="1009">
        <f>W72</f>
        <v>1989164570.4746923</v>
      </c>
      <c r="DA88" s="898" t="s">
        <v>1338</v>
      </c>
      <c r="DB88" s="898"/>
      <c r="DC88" s="251"/>
      <c r="DD88" s="251"/>
    </row>
    <row r="89" spans="18:109" x14ac:dyDescent="0.3">
      <c r="AD89" s="960">
        <f t="shared" si="32"/>
        <v>2031</v>
      </c>
      <c r="AE89" s="691">
        <f t="shared" si="31"/>
        <v>7881638622.0827227</v>
      </c>
      <c r="AF89" s="963">
        <f t="shared" si="28"/>
        <v>2.5000000000000001E-2</v>
      </c>
      <c r="AG89" s="691">
        <f t="shared" si="29"/>
        <v>197040965.55206808</v>
      </c>
      <c r="CU89" s="88"/>
      <c r="CV89" s="88"/>
      <c r="CW89" s="88"/>
      <c r="CX89" s="88"/>
      <c r="CY89" s="106"/>
      <c r="CZ89" s="745"/>
      <c r="DA89" s="251"/>
      <c r="DB89" s="251"/>
      <c r="DC89" s="251"/>
      <c r="DD89" s="251"/>
      <c r="DE89" s="252"/>
    </row>
    <row r="90" spans="18:109" x14ac:dyDescent="0.3">
      <c r="AD90" s="960">
        <f t="shared" si="32"/>
        <v>2032</v>
      </c>
      <c r="AE90" s="691">
        <f t="shared" si="31"/>
        <v>8078679587.6347904</v>
      </c>
      <c r="AF90" s="963">
        <f t="shared" si="28"/>
        <v>2.5000000000000001E-2</v>
      </c>
      <c r="AG90" s="691">
        <f t="shared" si="29"/>
        <v>201966989.69086978</v>
      </c>
      <c r="CU90" s="88"/>
      <c r="CV90" s="88"/>
      <c r="CW90" s="88"/>
      <c r="CX90" s="88"/>
      <c r="CZ90" s="999" t="s">
        <v>1355</v>
      </c>
      <c r="DA90" s="252"/>
      <c r="DB90" s="252"/>
      <c r="DC90" s="252"/>
      <c r="DD90" s="252"/>
      <c r="DE90" s="252"/>
    </row>
    <row r="91" spans="18:109" x14ac:dyDescent="0.3">
      <c r="AD91" s="960">
        <f t="shared" si="32"/>
        <v>2033</v>
      </c>
      <c r="AE91" s="691">
        <f t="shared" si="31"/>
        <v>8280646577.3256598</v>
      </c>
      <c r="AF91" s="963">
        <f t="shared" si="28"/>
        <v>2.5000000000000001E-2</v>
      </c>
      <c r="AG91" s="691">
        <f t="shared" si="29"/>
        <v>207016164.4331415</v>
      </c>
      <c r="CU91" s="88"/>
      <c r="CV91" s="88"/>
      <c r="CW91" s="88"/>
      <c r="CX91" s="88"/>
      <c r="DA91" s="252"/>
      <c r="DB91" s="252"/>
      <c r="DC91" s="252"/>
      <c r="DD91" s="252"/>
      <c r="DE91" s="252"/>
    </row>
    <row r="92" spans="18:109" x14ac:dyDescent="0.3">
      <c r="AD92" s="960">
        <f t="shared" si="32"/>
        <v>2034</v>
      </c>
      <c r="AE92" s="691">
        <f t="shared" si="31"/>
        <v>8487662741.7588015</v>
      </c>
      <c r="AF92" s="963">
        <f t="shared" si="28"/>
        <v>2.5000000000000001E-2</v>
      </c>
      <c r="AG92" s="691">
        <f t="shared" si="29"/>
        <v>212191568.54397005</v>
      </c>
      <c r="CU92" s="88"/>
      <c r="CV92" s="88"/>
      <c r="CW92" s="88"/>
      <c r="CX92" s="252"/>
      <c r="DA92" s="252"/>
      <c r="DB92" s="252"/>
      <c r="DC92" s="252"/>
      <c r="DD92" s="252"/>
      <c r="DE92" s="252"/>
    </row>
    <row r="93" spans="18:109" x14ac:dyDescent="0.3">
      <c r="AD93" s="960">
        <f t="shared" si="32"/>
        <v>2035</v>
      </c>
      <c r="AE93" s="691">
        <f t="shared" si="31"/>
        <v>8699854310.3027706</v>
      </c>
      <c r="AF93" s="963">
        <f t="shared" si="28"/>
        <v>2.5000000000000001E-2</v>
      </c>
      <c r="AG93" s="691">
        <f t="shared" si="29"/>
        <v>217496357.75756928</v>
      </c>
      <c r="DA93" s="252"/>
      <c r="DB93" s="252"/>
      <c r="DC93" s="252"/>
      <c r="DD93" s="252"/>
      <c r="DE93" s="252"/>
    </row>
    <row r="94" spans="18:109" x14ac:dyDescent="0.3">
      <c r="AD94" s="960">
        <f t="shared" si="32"/>
        <v>2036</v>
      </c>
      <c r="AE94" s="691">
        <f t="shared" si="31"/>
        <v>8917350668.060339</v>
      </c>
      <c r="AF94" s="963">
        <f t="shared" si="28"/>
        <v>2.5000000000000001E-2</v>
      </c>
      <c r="AG94" s="691">
        <f t="shared" si="29"/>
        <v>222933766.70150849</v>
      </c>
      <c r="DA94" s="252"/>
      <c r="DB94" s="252"/>
      <c r="DC94" s="252"/>
      <c r="DD94" s="252"/>
      <c r="DE94" s="252"/>
    </row>
    <row r="95" spans="18:109" x14ac:dyDescent="0.3">
      <c r="AD95" s="960">
        <f t="shared" si="32"/>
        <v>2037</v>
      </c>
      <c r="AE95" s="691">
        <f t="shared" si="31"/>
        <v>9140284434.7618465</v>
      </c>
      <c r="AF95" s="963">
        <f t="shared" si="28"/>
        <v>2.5000000000000001E-2</v>
      </c>
      <c r="AG95" s="691">
        <f t="shared" si="29"/>
        <v>228507110.86904618</v>
      </c>
      <c r="DA95" s="252"/>
      <c r="DB95" s="252"/>
      <c r="DC95" s="252"/>
      <c r="DD95" s="252"/>
      <c r="DE95" s="252"/>
    </row>
    <row r="96" spans="18:109" x14ac:dyDescent="0.3">
      <c r="AD96" s="960">
        <f t="shared" si="32"/>
        <v>2038</v>
      </c>
      <c r="AE96" s="691">
        <f t="shared" si="31"/>
        <v>9368791545.6308918</v>
      </c>
      <c r="AF96" s="963">
        <f t="shared" si="28"/>
        <v>2.5000000000000001E-2</v>
      </c>
      <c r="AG96" s="691">
        <f t="shared" si="29"/>
        <v>234219788.64077231</v>
      </c>
      <c r="DA96" s="252"/>
      <c r="DB96" s="252"/>
      <c r="DC96" s="252"/>
      <c r="DD96" s="252"/>
      <c r="DE96" s="252"/>
    </row>
    <row r="97" spans="30:109" x14ac:dyDescent="0.3">
      <c r="AD97" s="960">
        <f t="shared" si="32"/>
        <v>2039</v>
      </c>
      <c r="AE97" s="691">
        <f t="shared" si="31"/>
        <v>9603011334.2716637</v>
      </c>
      <c r="AF97" s="963">
        <f t="shared" si="28"/>
        <v>2.5000000000000001E-2</v>
      </c>
      <c r="AG97" s="691">
        <f t="shared" si="29"/>
        <v>240075283.35679162</v>
      </c>
      <c r="DA97" s="252"/>
      <c r="DB97" s="252"/>
      <c r="DC97" s="252"/>
      <c r="DD97" s="252"/>
      <c r="DE97" s="252"/>
    </row>
    <row r="98" spans="30:109" x14ac:dyDescent="0.3">
      <c r="AD98" s="960">
        <f t="shared" si="32"/>
        <v>2040</v>
      </c>
      <c r="AE98" s="691">
        <f t="shared" si="31"/>
        <v>9843086617.6284561</v>
      </c>
      <c r="AF98" s="963">
        <f t="shared" si="28"/>
        <v>2.5000000000000001E-2</v>
      </c>
      <c r="AG98" s="691">
        <f t="shared" si="29"/>
        <v>246077165.44071141</v>
      </c>
    </row>
    <row r="99" spans="30:109" x14ac:dyDescent="0.3">
      <c r="AD99" s="960">
        <f t="shared" si="32"/>
        <v>2041</v>
      </c>
      <c r="AE99" s="691">
        <f t="shared" si="31"/>
        <v>10089163783.069168</v>
      </c>
      <c r="AF99" s="963">
        <f t="shared" si="28"/>
        <v>2.5000000000000001E-2</v>
      </c>
      <c r="AG99" s="691">
        <f t="shared" si="29"/>
        <v>252229094.57672921</v>
      </c>
    </row>
    <row r="100" spans="30:109" x14ac:dyDescent="0.3">
      <c r="AD100" s="960">
        <f t="shared" si="32"/>
        <v>2042</v>
      </c>
      <c r="AE100" s="691">
        <f t="shared" si="31"/>
        <v>10341392877.645897</v>
      </c>
      <c r="AF100" s="963">
        <f t="shared" si="28"/>
        <v>2.5000000000000001E-2</v>
      </c>
      <c r="AG100" s="691">
        <f t="shared" si="29"/>
        <v>258534821.94114745</v>
      </c>
    </row>
    <row r="101" spans="30:109" x14ac:dyDescent="0.3">
      <c r="AD101" s="960">
        <f t="shared" si="32"/>
        <v>2043</v>
      </c>
      <c r="AE101" s="691">
        <f t="shared" si="31"/>
        <v>10599927699.587044</v>
      </c>
      <c r="AF101" s="963">
        <f t="shared" si="28"/>
        <v>2.5000000000000001E-2</v>
      </c>
      <c r="AG101" s="691">
        <f t="shared" si="29"/>
        <v>264998192.48967612</v>
      </c>
    </row>
    <row r="102" spans="30:109" x14ac:dyDescent="0.3">
      <c r="AD102" s="960">
        <f t="shared" si="32"/>
        <v>2044</v>
      </c>
      <c r="AE102" s="691">
        <f t="shared" si="31"/>
        <v>10864925892.076719</v>
      </c>
      <c r="AF102" s="963">
        <f t="shared" si="28"/>
        <v>2.5000000000000001E-2</v>
      </c>
      <c r="AG102" s="691">
        <f t="shared" si="29"/>
        <v>271623147.30191797</v>
      </c>
    </row>
    <row r="103" spans="30:109" x14ac:dyDescent="0.3">
      <c r="AD103" s="960">
        <f t="shared" si="32"/>
        <v>2045</v>
      </c>
      <c r="AE103" s="691">
        <f t="shared" si="31"/>
        <v>11136549039.378637</v>
      </c>
      <c r="AF103" s="963">
        <f t="shared" si="28"/>
        <v>2.5000000000000001E-2</v>
      </c>
      <c r="AG103" s="691">
        <f t="shared" si="29"/>
        <v>278413725.98446596</v>
      </c>
    </row>
    <row r="104" spans="30:109" x14ac:dyDescent="0.3">
      <c r="AD104" s="960">
        <f t="shared" si="32"/>
        <v>2046</v>
      </c>
      <c r="AE104" s="691">
        <f t="shared" si="31"/>
        <v>11414962765.363104</v>
      </c>
      <c r="AF104" s="963">
        <f t="shared" si="28"/>
        <v>2.5000000000000001E-2</v>
      </c>
      <c r="AG104" s="691">
        <f t="shared" si="29"/>
        <v>285374069.13407761</v>
      </c>
    </row>
    <row r="105" spans="30:109" x14ac:dyDescent="0.3">
      <c r="AD105" s="960">
        <f t="shared" si="32"/>
        <v>2047</v>
      </c>
      <c r="AE105" s="691">
        <f t="shared" si="31"/>
        <v>11700336834.497181</v>
      </c>
      <c r="AF105" s="963">
        <f t="shared" si="28"/>
        <v>2.5000000000000001E-2</v>
      </c>
      <c r="AG105" s="691">
        <f t="shared" si="29"/>
        <v>292508420.86242956</v>
      </c>
    </row>
    <row r="106" spans="30:109" x14ac:dyDescent="0.3">
      <c r="AD106" s="960">
        <f t="shared" si="32"/>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9326-3BB3-4F5F-9129-33B1A9251D3B}">
  <dimension ref="A2:BY106"/>
  <sheetViews>
    <sheetView showGridLines="0" topLeftCell="AI18" workbookViewId="0">
      <selection activeCell="AT29" sqref="AT29"/>
    </sheetView>
  </sheetViews>
  <sheetFormatPr defaultColWidth="8.88671875" defaultRowHeight="15.6" x14ac:dyDescent="0.3"/>
  <cols>
    <col min="1" max="1" width="5.88671875" style="1" customWidth="1"/>
    <col min="2" max="2" width="22.33203125" style="1" customWidth="1"/>
    <col min="3" max="3" width="21.33203125" style="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19.109375" style="1" bestFit="1" customWidth="1"/>
    <col min="12" max="12" width="8.88671875" style="1"/>
    <col min="13" max="13" width="21.33203125" style="1" bestFit="1" customWidth="1"/>
    <col min="14" max="14" width="8.88671875" style="1"/>
    <col min="15" max="15" width="19.109375" style="1" bestFit="1" customWidth="1"/>
    <col min="16" max="16" width="8.88671875" style="1"/>
    <col min="17" max="17" width="21.33203125" style="1" bestFit="1" customWidth="1"/>
    <col min="18" max="18" width="8.88671875" style="1"/>
    <col min="19" max="19" width="19.109375" style="1" bestFit="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32" width="8.88671875" style="1"/>
    <col min="33" max="33" width="21.33203125" style="1" bestFit="1" customWidth="1"/>
    <col min="34" max="34" width="8.88671875" style="1"/>
    <col min="35" max="35" width="17.44140625" style="1" bestFit="1" customWidth="1"/>
    <col min="36" max="36" width="8.88671875" style="1"/>
    <col min="37" max="37" width="23.6640625" style="1" customWidth="1"/>
    <col min="38" max="38" width="9.44140625" style="1" bestFit="1" customWidth="1"/>
    <col min="39" max="39" width="36.44140625" style="1" customWidth="1"/>
    <col min="40" max="40" width="28" style="1" bestFit="1" customWidth="1"/>
    <col min="41" max="41" width="11.109375" style="1" bestFit="1" customWidth="1"/>
    <col min="42" max="42" width="22.109375" style="1" customWidth="1"/>
    <col min="43" max="43" width="35.6640625" style="1" customWidth="1"/>
    <col min="44" max="44" width="39.109375" style="1" bestFit="1" customWidth="1"/>
    <col min="45" max="45" width="20.5546875" style="1" bestFit="1" customWidth="1"/>
    <col min="46" max="46" width="24.21875" style="1" bestFit="1" customWidth="1"/>
    <col min="47" max="47" width="8.88671875" style="1"/>
    <col min="48" max="48" width="21.44140625" style="1" bestFit="1" customWidth="1"/>
    <col min="49" max="49" width="8.88671875" style="1"/>
    <col min="50" max="50" width="9.33203125" style="1" customWidth="1"/>
    <col min="51" max="52" width="8.88671875" style="1"/>
    <col min="53" max="53" width="8.88671875" style="1" customWidth="1"/>
    <col min="54" max="54" width="19.6640625" style="1" customWidth="1"/>
    <col min="55" max="55" width="11.109375" style="1" bestFit="1" customWidth="1"/>
    <col min="56" max="56" width="29.5546875" style="1" bestFit="1" customWidth="1"/>
    <col min="57" max="57" width="8.88671875" style="1"/>
    <col min="58" max="58" width="23.109375" style="1" bestFit="1" customWidth="1"/>
    <col min="59" max="59" width="16.88671875" style="12" customWidth="1"/>
    <col min="60" max="60" width="22.44140625" style="1" bestFit="1" customWidth="1"/>
    <col min="61" max="61" width="7.109375" style="1" customWidth="1"/>
    <col min="62" max="62" width="20.21875" style="1" customWidth="1"/>
    <col min="63" max="63" width="9.109375" style="12" customWidth="1"/>
    <col min="64" max="64" width="19.109375" style="1" bestFit="1" customWidth="1"/>
    <col min="65" max="66" width="8.88671875" style="1"/>
    <col min="67" max="67" width="20.6640625" style="1" customWidth="1"/>
    <col min="68" max="68" width="3.6640625" style="1" customWidth="1"/>
    <col min="69" max="70" width="21.88671875" style="1" customWidth="1"/>
    <col min="71" max="71" width="8" style="1" customWidth="1"/>
    <col min="72" max="72" width="21.44140625" style="1" customWidth="1"/>
    <col min="73" max="73" width="19.109375" style="1" bestFit="1" customWidth="1"/>
    <col min="74" max="74" width="25.33203125" style="690" customWidth="1"/>
    <col min="75" max="75" width="8.88671875" style="12"/>
    <col min="76" max="76" width="8.88671875" style="1"/>
    <col min="77" max="77" width="17.44140625" style="1" bestFit="1" customWidth="1"/>
    <col min="78" max="16384" width="8.88671875" style="1"/>
  </cols>
  <sheetData>
    <row r="2" spans="1:75"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BG2" s="916"/>
      <c r="BK2" s="916"/>
      <c r="BV2" s="917"/>
      <c r="BW2" s="916"/>
    </row>
    <row r="3" spans="1:75" ht="25.95" customHeight="1" x14ac:dyDescent="0.5">
      <c r="C3" s="570" t="s">
        <v>1446</v>
      </c>
      <c r="F3" s="1081"/>
      <c r="G3" s="648"/>
      <c r="AN3" s="999" t="s">
        <v>1355</v>
      </c>
      <c r="AP3" s="236">
        <f>AM4*AP4</f>
        <v>14937</v>
      </c>
    </row>
    <row r="4" spans="1:75" ht="15.6" customHeight="1" x14ac:dyDescent="0.5">
      <c r="C4" s="570"/>
      <c r="D4" s="7"/>
      <c r="E4" s="7" t="s">
        <v>1292</v>
      </c>
      <c r="F4" s="1081"/>
      <c r="G4" s="632" t="s">
        <v>288</v>
      </c>
      <c r="H4" s="7"/>
      <c r="I4" s="632" t="s">
        <v>970</v>
      </c>
      <c r="J4" s="7"/>
      <c r="K4" s="7">
        <f>G5+K5</f>
        <v>5098985173.8112001</v>
      </c>
      <c r="L4" s="7"/>
      <c r="M4" s="632" t="s">
        <v>970</v>
      </c>
      <c r="N4" s="7"/>
      <c r="O4" s="7">
        <f>K4</f>
        <v>5098985173.8112001</v>
      </c>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1266">
        <v>2748</v>
      </c>
      <c r="AN4" s="236">
        <v>14937</v>
      </c>
      <c r="AO4" s="236"/>
      <c r="AP4" s="483">
        <f>AN4/AM4</f>
        <v>5.4355895196506552</v>
      </c>
    </row>
    <row r="5" spans="1:75" ht="18.600000000000001" x14ac:dyDescent="0.45">
      <c r="C5" s="37" t="s">
        <v>972</v>
      </c>
      <c r="D5" s="619"/>
      <c r="E5" s="408">
        <f>E11</f>
        <v>2748779069.4400001</v>
      </c>
      <c r="F5" s="1082">
        <v>1</v>
      </c>
      <c r="G5" s="408">
        <f>E5*F5</f>
        <v>2748779069.4400001</v>
      </c>
      <c r="H5" s="409">
        <v>0.9</v>
      </c>
      <c r="I5" s="408">
        <f>G5*H5</f>
        <v>2473901162.4960003</v>
      </c>
      <c r="J5" s="409">
        <v>0.95</v>
      </c>
      <c r="K5" s="408">
        <f>I5*J5</f>
        <v>2350206104.3712001</v>
      </c>
      <c r="L5" s="409">
        <f>H5</f>
        <v>0.9</v>
      </c>
      <c r="M5" s="408">
        <f>K5*L5</f>
        <v>2115185493.9340801</v>
      </c>
      <c r="N5" s="409">
        <f>J5</f>
        <v>0.95</v>
      </c>
      <c r="O5" s="408">
        <f>M5*N5</f>
        <v>2009426219.237376</v>
      </c>
      <c r="P5" s="409">
        <f>L5</f>
        <v>0.9</v>
      </c>
      <c r="Q5" s="408">
        <f>O5*P5</f>
        <v>1808483597.3136384</v>
      </c>
      <c r="R5" s="409">
        <f>N5</f>
        <v>0.95</v>
      </c>
      <c r="S5" s="408">
        <f>Q5*R5</f>
        <v>1718059417.4479566</v>
      </c>
      <c r="T5" s="409">
        <f>P5</f>
        <v>0.9</v>
      </c>
      <c r="U5" s="408">
        <f>S5*T5</f>
        <v>1546253475.703161</v>
      </c>
      <c r="V5" s="409">
        <f>R5</f>
        <v>0.95</v>
      </c>
      <c r="W5" s="408">
        <f>U5*V5</f>
        <v>1468940801.9180028</v>
      </c>
      <c r="X5" s="409">
        <f>T5</f>
        <v>0.9</v>
      </c>
      <c r="Y5" s="408">
        <f>W5*X5</f>
        <v>1322046721.7262025</v>
      </c>
      <c r="Z5" s="409">
        <f>V5</f>
        <v>0.95</v>
      </c>
      <c r="AA5" s="408">
        <f>Y5*Z5</f>
        <v>1255944385.6398923</v>
      </c>
      <c r="AB5" s="409">
        <f>X5</f>
        <v>0.9</v>
      </c>
      <c r="AC5" s="408">
        <f>AA5*AB5</f>
        <v>1130349947.0759032</v>
      </c>
      <c r="AD5" s="409">
        <f>Z5</f>
        <v>0.95</v>
      </c>
      <c r="AE5" s="408">
        <f>AC5*AD5</f>
        <v>1073832449.7221079</v>
      </c>
      <c r="AF5" s="409">
        <f>AB5</f>
        <v>0.9</v>
      </c>
      <c r="AG5" s="408">
        <f>AE5*AF5</f>
        <v>966449204.74989712</v>
      </c>
      <c r="AH5" s="409">
        <f>AD5</f>
        <v>0.95</v>
      </c>
      <c r="AI5" s="408">
        <f>AG5*AH5</f>
        <v>918126744.51240218</v>
      </c>
      <c r="AJ5" s="409">
        <f>AF5</f>
        <v>0.9</v>
      </c>
      <c r="AK5" s="408">
        <f>AI5*AJ5</f>
        <v>826314070.06116199</v>
      </c>
      <c r="AL5" s="409">
        <f>AH5</f>
        <v>0.95</v>
      </c>
      <c r="AM5" s="408">
        <f>AK5*AL5</f>
        <v>784998366.5581038</v>
      </c>
      <c r="AN5" s="719">
        <f>G5+I5+M5+Q5+U5+Y5+AC5+AG5+AK5</f>
        <v>14937762742.500046</v>
      </c>
      <c r="AP5" s="621">
        <f>AJ5</f>
        <v>0.9</v>
      </c>
      <c r="AQ5" s="622">
        <f>AM5*AP5</f>
        <v>706498529.90229344</v>
      </c>
      <c r="AR5" s="626"/>
      <c r="AS5" s="626"/>
      <c r="AT5" s="627"/>
    </row>
    <row r="6" spans="1:75" x14ac:dyDescent="0.3">
      <c r="F6" s="1081"/>
      <c r="O6" s="1">
        <f>O4+O5</f>
        <v>7108411393.0485764</v>
      </c>
      <c r="AN6" s="93"/>
      <c r="AT6" s="628"/>
    </row>
    <row r="7" spans="1:75" x14ac:dyDescent="0.3">
      <c r="B7" s="583"/>
      <c r="C7" s="4"/>
      <c r="D7" s="4"/>
      <c r="E7" s="120" t="s">
        <v>900</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462" t="s">
        <v>749</v>
      </c>
      <c r="AG7" s="170" t="s">
        <v>1379</v>
      </c>
      <c r="AH7" s="175" t="s">
        <v>297</v>
      </c>
      <c r="AI7" s="170" t="s">
        <v>59</v>
      </c>
      <c r="AJ7" s="301" t="s">
        <v>749</v>
      </c>
      <c r="AK7" s="121" t="s">
        <v>1380</v>
      </c>
      <c r="AL7" s="173" t="s">
        <v>297</v>
      </c>
      <c r="AM7" s="121" t="s">
        <v>59</v>
      </c>
      <c r="AN7" s="121" t="s">
        <v>1381</v>
      </c>
      <c r="AP7" s="588" t="s">
        <v>1367</v>
      </c>
      <c r="AQ7" s="121" t="s">
        <v>1372</v>
      </c>
      <c r="AT7" s="628"/>
    </row>
    <row r="8" spans="1:75" x14ac:dyDescent="0.3">
      <c r="B8" s="584"/>
      <c r="C8" s="7"/>
      <c r="E8" s="875">
        <f>'POP Dimensions'!J15</f>
        <v>21474836.48</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586" t="s">
        <v>1371</v>
      </c>
      <c r="AG8" s="470"/>
      <c r="AH8" s="471"/>
      <c r="AI8" s="470"/>
      <c r="AJ8" s="587" t="s">
        <v>1371</v>
      </c>
      <c r="AK8" s="303"/>
      <c r="AL8" s="179"/>
      <c r="AM8" s="303"/>
      <c r="AN8" s="126"/>
      <c r="AP8" s="589" t="s">
        <v>1371</v>
      </c>
      <c r="AQ8" s="303"/>
      <c r="AT8" s="628"/>
    </row>
    <row r="9" spans="1:75" ht="16.2" thickBot="1" x14ac:dyDescent="0.35">
      <c r="B9" s="585" t="s">
        <v>943</v>
      </c>
      <c r="C9" s="1078">
        <v>8</v>
      </c>
      <c r="D9" s="630" t="s">
        <v>954</v>
      </c>
      <c r="E9" s="631">
        <f>E8</f>
        <v>21474836.48</v>
      </c>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122"/>
      <c r="AK9" s="459" t="s">
        <v>282</v>
      </c>
      <c r="AL9" s="122"/>
      <c r="AM9" s="8"/>
      <c r="AN9" s="126"/>
      <c r="AP9" s="122"/>
      <c r="AQ9" s="459" t="s">
        <v>282</v>
      </c>
      <c r="AT9" s="628"/>
    </row>
    <row r="10" spans="1:75" ht="16.2" thickBot="1" x14ac:dyDescent="0.35">
      <c r="B10" s="585" t="s">
        <v>944</v>
      </c>
      <c r="C10" s="938" t="s">
        <v>946</v>
      </c>
      <c r="D10" s="630" t="s">
        <v>953</v>
      </c>
      <c r="E10" s="994">
        <f>AO53</f>
        <v>256</v>
      </c>
      <c r="F10" s="1085">
        <v>0.25</v>
      </c>
      <c r="G10" s="130">
        <f>E14*F10</f>
        <v>503316.47999999998</v>
      </c>
      <c r="H10" s="460">
        <v>0.5</v>
      </c>
      <c r="I10" s="130">
        <f>G10*H10</f>
        <v>251658.23999999999</v>
      </c>
      <c r="J10" s="460">
        <v>0.95</v>
      </c>
      <c r="K10" s="458">
        <f>I10*J10</f>
        <v>239075.32799999998</v>
      </c>
      <c r="L10" s="129">
        <f>H10</f>
        <v>0.5</v>
      </c>
      <c r="M10" s="458">
        <f>K10*L10</f>
        <v>119537.66399999999</v>
      </c>
      <c r="N10" s="129">
        <f>J10</f>
        <v>0.95</v>
      </c>
      <c r="O10" s="458">
        <f>M10*N10</f>
        <v>113560.78079999998</v>
      </c>
      <c r="P10" s="129">
        <f>L10</f>
        <v>0.5</v>
      </c>
      <c r="Q10" s="458">
        <f>O10*P10</f>
        <v>56780.390399999989</v>
      </c>
      <c r="R10" s="129">
        <f>N10</f>
        <v>0.95</v>
      </c>
      <c r="S10" s="458">
        <f>Q10*R10</f>
        <v>53941.370879999988</v>
      </c>
      <c r="T10" s="129">
        <f>P10</f>
        <v>0.5</v>
      </c>
      <c r="U10" s="458">
        <f>S10*T10</f>
        <v>26970.685439999994</v>
      </c>
      <c r="V10" s="129">
        <f>R10</f>
        <v>0.95</v>
      </c>
      <c r="W10" s="458">
        <f>U10*V10</f>
        <v>25622.151167999993</v>
      </c>
      <c r="X10" s="129">
        <f>T10</f>
        <v>0.5</v>
      </c>
      <c r="Y10" s="458">
        <f>W10*X10</f>
        <v>12811.075583999997</v>
      </c>
      <c r="Z10" s="129">
        <f>V10</f>
        <v>0.95</v>
      </c>
      <c r="AA10" s="458">
        <f>Y10*Z10</f>
        <v>12170.521804799997</v>
      </c>
      <c r="AB10" s="129">
        <f>X10</f>
        <v>0.5</v>
      </c>
      <c r="AC10" s="458">
        <f>AA10*AB10</f>
        <v>6085.2609023999985</v>
      </c>
      <c r="AD10" s="129">
        <f>Z10</f>
        <v>0.95</v>
      </c>
      <c r="AE10" s="458">
        <f>AC10*AD10</f>
        <v>5780.9978572799982</v>
      </c>
      <c r="AF10" s="129">
        <f>AB10</f>
        <v>0.5</v>
      </c>
      <c r="AG10" s="458">
        <f>AE10*AF10</f>
        <v>2890.4989286399991</v>
      </c>
      <c r="AH10" s="129">
        <f>AD10</f>
        <v>0.95</v>
      </c>
      <c r="AI10" s="458">
        <f>AG10*AH10</f>
        <v>2745.9739822079991</v>
      </c>
      <c r="AJ10" s="129">
        <f>AF10</f>
        <v>0.5</v>
      </c>
      <c r="AK10" s="458">
        <f>AI10*AJ10</f>
        <v>1372.9869911039996</v>
      </c>
      <c r="AL10" s="129">
        <f>AH10</f>
        <v>0.95</v>
      </c>
      <c r="AM10" s="458">
        <f>AK10*AL10</f>
        <v>1304.3376415487996</v>
      </c>
      <c r="AN10" s="161">
        <f>G10+I10+M10+Q10+U10+Y10+AC10+AG10+AK10</f>
        <v>981423.28224614402</v>
      </c>
      <c r="AP10" s="590">
        <f>AJ10</f>
        <v>0.5</v>
      </c>
      <c r="AQ10" s="458">
        <f>AM10*AP10</f>
        <v>652.16882077439982</v>
      </c>
      <c r="AR10" s="623"/>
      <c r="AS10" s="624"/>
      <c r="AT10" s="628"/>
    </row>
    <row r="11" spans="1:75" ht="16.2" thickBot="1" x14ac:dyDescent="0.35">
      <c r="B11" s="585" t="s">
        <v>945</v>
      </c>
      <c r="C11" s="1078">
        <v>2024</v>
      </c>
      <c r="D11" s="630" t="s">
        <v>1291</v>
      </c>
      <c r="E11" s="631">
        <f>'POP Dimensions'!L17</f>
        <v>2748779069.4400001</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122"/>
      <c r="AK11" s="457" t="s">
        <v>283</v>
      </c>
      <c r="AL11" s="122"/>
      <c r="AM11" s="8"/>
      <c r="AN11" s="126"/>
      <c r="AP11" s="122"/>
      <c r="AQ11" s="457" t="s">
        <v>283</v>
      </c>
      <c r="AR11" s="623"/>
      <c r="AS11" s="623"/>
      <c r="AT11" s="628"/>
    </row>
    <row r="12" spans="1:75" ht="16.2" thickBot="1" x14ac:dyDescent="0.35">
      <c r="B12" s="584"/>
      <c r="E12" s="997">
        <f>E9*E10</f>
        <v>5497558138.8800001</v>
      </c>
      <c r="F12" s="1086">
        <v>0.25</v>
      </c>
      <c r="G12" s="135">
        <f>E14*F12</f>
        <v>503316.47999999998</v>
      </c>
      <c r="H12" s="461">
        <v>0.9</v>
      </c>
      <c r="I12" s="135">
        <f>G12*H12</f>
        <v>452984.83199999999</v>
      </c>
      <c r="J12" s="461">
        <v>0.95</v>
      </c>
      <c r="K12" s="440">
        <f>I12*J12</f>
        <v>430335.59039999999</v>
      </c>
      <c r="L12" s="133">
        <f>H12</f>
        <v>0.9</v>
      </c>
      <c r="M12" s="440">
        <f>K12*L12</f>
        <v>387302.03136000002</v>
      </c>
      <c r="N12" s="133">
        <f>J12</f>
        <v>0.95</v>
      </c>
      <c r="O12" s="440">
        <f>M12*N12</f>
        <v>367936.92979199998</v>
      </c>
      <c r="P12" s="133">
        <f>L12</f>
        <v>0.9</v>
      </c>
      <c r="Q12" s="440">
        <f>O12*P12</f>
        <v>331143.23681279999</v>
      </c>
      <c r="R12" s="133">
        <f>N12</f>
        <v>0.95</v>
      </c>
      <c r="S12" s="440">
        <f>Q12*R12</f>
        <v>314586.07497215999</v>
      </c>
      <c r="T12" s="133">
        <f>P12</f>
        <v>0.9</v>
      </c>
      <c r="U12" s="440">
        <f>S12*T12</f>
        <v>283127.46747494402</v>
      </c>
      <c r="V12" s="133">
        <f>R12</f>
        <v>0.95</v>
      </c>
      <c r="W12" s="440">
        <f>U12*V12</f>
        <v>268971.0941011968</v>
      </c>
      <c r="X12" s="133">
        <f>T12</f>
        <v>0.9</v>
      </c>
      <c r="Y12" s="440">
        <f>W12*X12</f>
        <v>242073.98469107712</v>
      </c>
      <c r="Z12" s="133">
        <f>V12</f>
        <v>0.95</v>
      </c>
      <c r="AA12" s="440">
        <f>Y12*Z12</f>
        <v>229970.28545652324</v>
      </c>
      <c r="AB12" s="133">
        <f>X12</f>
        <v>0.9</v>
      </c>
      <c r="AC12" s="440">
        <f>AA12*AB12</f>
        <v>206973.25691087093</v>
      </c>
      <c r="AD12" s="133">
        <f>Z12</f>
        <v>0.95</v>
      </c>
      <c r="AE12" s="440">
        <f>AC12*AD12</f>
        <v>196624.59406532737</v>
      </c>
      <c r="AF12" s="133">
        <f>AB12</f>
        <v>0.9</v>
      </c>
      <c r="AG12" s="440">
        <f>AE12*AF12</f>
        <v>176962.13465879465</v>
      </c>
      <c r="AH12" s="133">
        <f>AD12</f>
        <v>0.95</v>
      </c>
      <c r="AI12" s="440">
        <f>AG12*AH12</f>
        <v>168114.0279258549</v>
      </c>
      <c r="AJ12" s="133">
        <f>AF12</f>
        <v>0.9</v>
      </c>
      <c r="AK12" s="440">
        <f>AI12*AJ12</f>
        <v>151302.62513326941</v>
      </c>
      <c r="AL12" s="133">
        <f>AH12</f>
        <v>0.95</v>
      </c>
      <c r="AM12" s="440">
        <f>AK12*AL12</f>
        <v>143737.49387660593</v>
      </c>
      <c r="AN12" s="161">
        <f>G12+I12+M12+Q12+U12+Y12+AC12+AG12+AK12</f>
        <v>2735186.049041756</v>
      </c>
      <c r="AP12" s="591">
        <f>AJ12</f>
        <v>0.9</v>
      </c>
      <c r="AQ12" s="440">
        <f>AM12*AP12</f>
        <v>129363.74448894535</v>
      </c>
      <c r="AR12" s="623"/>
      <c r="AS12" s="624"/>
      <c r="AT12" s="628"/>
    </row>
    <row r="13" spans="1:75" ht="16.2" thickBot="1" x14ac:dyDescent="0.35">
      <c r="B13" s="613"/>
      <c r="C13" s="7"/>
      <c r="E13" s="997">
        <f>E12/2</f>
        <v>2748779069.4400001</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122"/>
      <c r="AK13" s="451" t="s">
        <v>284</v>
      </c>
      <c r="AL13" s="122"/>
      <c r="AM13" s="8"/>
      <c r="AN13" s="126"/>
      <c r="AP13" s="122"/>
      <c r="AQ13" s="451" t="s">
        <v>284</v>
      </c>
      <c r="AR13" s="623"/>
      <c r="AS13" s="623"/>
      <c r="AT13" s="628"/>
    </row>
    <row r="14" spans="1:75" ht="16.2" thickBot="1" x14ac:dyDescent="0.35">
      <c r="A14" s="162"/>
      <c r="B14" s="162"/>
      <c r="C14" s="137" t="s">
        <v>291</v>
      </c>
      <c r="D14" s="609">
        <f>E14/E8</f>
        <v>9.375E-2</v>
      </c>
      <c r="E14" s="139">
        <f>'UCS™ TWF Ťenders'!F97</f>
        <v>2013265.9199999999</v>
      </c>
      <c r="F14" s="1088">
        <v>0.5</v>
      </c>
      <c r="G14" s="139">
        <f>E14*F14</f>
        <v>1006632.96</v>
      </c>
      <c r="H14" s="463">
        <v>0.9</v>
      </c>
      <c r="I14" s="139">
        <f>G14*H14</f>
        <v>905969.66399999999</v>
      </c>
      <c r="J14" s="463">
        <v>0.95</v>
      </c>
      <c r="K14" s="441">
        <f>I14*J14</f>
        <v>860671.18079999997</v>
      </c>
      <c r="L14" s="140">
        <f>H14</f>
        <v>0.9</v>
      </c>
      <c r="M14" s="441">
        <f>K14*L14</f>
        <v>774604.06272000005</v>
      </c>
      <c r="N14" s="140">
        <f>J14</f>
        <v>0.95</v>
      </c>
      <c r="O14" s="441">
        <f>M14*N14</f>
        <v>735873.85958399996</v>
      </c>
      <c r="P14" s="140">
        <f>L14</f>
        <v>0.9</v>
      </c>
      <c r="Q14" s="441">
        <f>O14*P14</f>
        <v>662286.47362559999</v>
      </c>
      <c r="R14" s="140">
        <f>N14</f>
        <v>0.95</v>
      </c>
      <c r="S14" s="441">
        <f>Q14*R14</f>
        <v>629172.14994431997</v>
      </c>
      <c r="T14" s="140">
        <f>P14</f>
        <v>0.9</v>
      </c>
      <c r="U14" s="441">
        <f>S14*T14</f>
        <v>566254.93494988803</v>
      </c>
      <c r="V14" s="140">
        <f>R14</f>
        <v>0.95</v>
      </c>
      <c r="W14" s="441">
        <f>U14*V14</f>
        <v>537942.18820239359</v>
      </c>
      <c r="X14" s="140">
        <f>T14</f>
        <v>0.9</v>
      </c>
      <c r="Y14" s="441">
        <f>W14*X14</f>
        <v>484147.96938215423</v>
      </c>
      <c r="Z14" s="140">
        <f>V14</f>
        <v>0.95</v>
      </c>
      <c r="AA14" s="441">
        <f>Y14*Z14</f>
        <v>459940.57091304648</v>
      </c>
      <c r="AB14" s="140">
        <f>X14</f>
        <v>0.9</v>
      </c>
      <c r="AC14" s="441">
        <f>AA14*AB14</f>
        <v>413946.51382174186</v>
      </c>
      <c r="AD14" s="140">
        <f>Z14</f>
        <v>0.95</v>
      </c>
      <c r="AE14" s="441">
        <f>AC14*AD14</f>
        <v>393249.18813065474</v>
      </c>
      <c r="AF14" s="140">
        <f>AB14</f>
        <v>0.9</v>
      </c>
      <c r="AG14" s="441">
        <f>AE14*AF14</f>
        <v>353924.26931758929</v>
      </c>
      <c r="AH14" s="140">
        <f>AD14</f>
        <v>0.95</v>
      </c>
      <c r="AI14" s="441">
        <f>AG14*AH14</f>
        <v>336228.0558517098</v>
      </c>
      <c r="AJ14" s="140">
        <f>AF14</f>
        <v>0.9</v>
      </c>
      <c r="AK14" s="441">
        <f>AI14*AJ14</f>
        <v>302605.25026653882</v>
      </c>
      <c r="AL14" s="140">
        <f>AH14</f>
        <v>0.95</v>
      </c>
      <c r="AM14" s="441">
        <f>AK14*AL14</f>
        <v>287474.98775321187</v>
      </c>
      <c r="AN14" s="161">
        <f>G14+I14+M14+Q14+U14+Y14+AC14+AG14+AK14</f>
        <v>5470372.0980835119</v>
      </c>
      <c r="AP14" s="592">
        <f>AJ14</f>
        <v>0.9</v>
      </c>
      <c r="AQ14" s="441">
        <f>AM14*AP14</f>
        <v>258727.48897789069</v>
      </c>
      <c r="AR14" s="623"/>
      <c r="AS14" s="624"/>
      <c r="AT14" s="628"/>
    </row>
    <row r="15" spans="1:75" x14ac:dyDescent="0.3">
      <c r="A15" s="18"/>
      <c r="B15" s="18"/>
      <c r="C15" s="141"/>
      <c r="D15" s="107"/>
      <c r="E15" s="1261">
        <v>5</v>
      </c>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122"/>
      <c r="AK15" s="8"/>
      <c r="AL15" s="122"/>
      <c r="AM15" s="8"/>
      <c r="AN15" s="126"/>
      <c r="AP15" s="122"/>
      <c r="AQ15" s="8"/>
      <c r="AR15" s="623"/>
      <c r="AS15" s="623"/>
      <c r="AT15" s="628"/>
    </row>
    <row r="16" spans="1:75" s="88" customFormat="1" ht="16.2" thickBot="1" x14ac:dyDescent="0.35">
      <c r="A16" s="163"/>
      <c r="B16" s="163"/>
      <c r="C16" s="141"/>
      <c r="D16" s="107"/>
      <c r="E16" s="1262">
        <f>E8/E15</f>
        <v>4294967.2960000001</v>
      </c>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455"/>
      <c r="AK16" s="454" t="s">
        <v>744</v>
      </c>
      <c r="AL16" s="141"/>
      <c r="AM16" s="164"/>
      <c r="AN16" s="126"/>
      <c r="AP16" s="455"/>
      <c r="AQ16" s="454" t="s">
        <v>744</v>
      </c>
      <c r="AR16" s="625"/>
      <c r="AS16" s="625"/>
      <c r="AT16" s="628"/>
      <c r="BG16" s="233"/>
      <c r="BK16" s="233"/>
      <c r="BV16" s="345"/>
      <c r="BW16" s="233"/>
    </row>
    <row r="17" spans="1:77" ht="16.2" thickBot="1" x14ac:dyDescent="0.35">
      <c r="A17" s="18"/>
      <c r="B17" s="18"/>
      <c r="C17" s="397" t="s">
        <v>276</v>
      </c>
      <c r="D17" s="614">
        <f>100%-D14-D21</f>
        <v>0.63099980959668756</v>
      </c>
      <c r="E17" s="399">
        <f>E8*D17</f>
        <v>13550617.73</v>
      </c>
      <c r="F17" s="1090">
        <v>1</v>
      </c>
      <c r="G17" s="399">
        <f>E17*F17</f>
        <v>13550617.73</v>
      </c>
      <c r="H17" s="464">
        <v>0.9</v>
      </c>
      <c r="I17" s="399">
        <f>G17*H17</f>
        <v>12195555.957</v>
      </c>
      <c r="J17" s="464">
        <v>0.95</v>
      </c>
      <c r="K17" s="453">
        <f>I17*J17</f>
        <v>11585778.159150001</v>
      </c>
      <c r="L17" s="400">
        <f>H17</f>
        <v>0.9</v>
      </c>
      <c r="M17" s="453">
        <f>K17*L17</f>
        <v>10427200.343235001</v>
      </c>
      <c r="N17" s="400">
        <f>J17</f>
        <v>0.95</v>
      </c>
      <c r="O17" s="453">
        <f>M17*N17</f>
        <v>9905840.3260732498</v>
      </c>
      <c r="P17" s="400">
        <f>L17</f>
        <v>0.9</v>
      </c>
      <c r="Q17" s="453">
        <f>O17*P17</f>
        <v>8915256.2934659254</v>
      </c>
      <c r="R17" s="400">
        <f>N17</f>
        <v>0.95</v>
      </c>
      <c r="S17" s="453">
        <f>Q17*R17</f>
        <v>8469493.4787926283</v>
      </c>
      <c r="T17" s="400">
        <f>P17</f>
        <v>0.9</v>
      </c>
      <c r="U17" s="453">
        <f>S17*T17</f>
        <v>7622544.1309133656</v>
      </c>
      <c r="V17" s="400">
        <f>R17</f>
        <v>0.95</v>
      </c>
      <c r="W17" s="453">
        <f>U17*V17</f>
        <v>7241416.924367697</v>
      </c>
      <c r="X17" s="400">
        <f>T17</f>
        <v>0.9</v>
      </c>
      <c r="Y17" s="453">
        <f>W17*X17</f>
        <v>6517275.2319309274</v>
      </c>
      <c r="Z17" s="400">
        <f>V17</f>
        <v>0.95</v>
      </c>
      <c r="AA17" s="453">
        <f>Y17*Z17</f>
        <v>6191411.4703343809</v>
      </c>
      <c r="AB17" s="400">
        <f>X17</f>
        <v>0.9</v>
      </c>
      <c r="AC17" s="453">
        <f>AA17*AB17</f>
        <v>5572270.3233009428</v>
      </c>
      <c r="AD17" s="400">
        <f>Z17</f>
        <v>0.95</v>
      </c>
      <c r="AE17" s="453">
        <f>AC17*AD17</f>
        <v>5293656.8071358958</v>
      </c>
      <c r="AF17" s="400">
        <f>AB17</f>
        <v>0.9</v>
      </c>
      <c r="AG17" s="453">
        <f>AE17*AF17</f>
        <v>4764291.1264223065</v>
      </c>
      <c r="AH17" s="400">
        <f>AD17</f>
        <v>0.95</v>
      </c>
      <c r="AI17" s="453">
        <f>AG17*AH17</f>
        <v>4526076.5701011913</v>
      </c>
      <c r="AJ17" s="400">
        <f>AF17</f>
        <v>0.9</v>
      </c>
      <c r="AK17" s="453">
        <f>AI17*AJ17</f>
        <v>4073468.9130910723</v>
      </c>
      <c r="AL17" s="400">
        <f>AH17</f>
        <v>0.95</v>
      </c>
      <c r="AM17" s="453">
        <f>AK17*AL17</f>
        <v>3869795.4674365185</v>
      </c>
      <c r="AN17" s="161">
        <f>G17+I17+M17+Q17+U17+Y17+AC17+AG17+AK17</f>
        <v>73638480.049359545</v>
      </c>
      <c r="AP17" s="593">
        <f>AJ17</f>
        <v>0.9</v>
      </c>
      <c r="AQ17" s="453">
        <f>AM17*AP17</f>
        <v>3482815.9206928667</v>
      </c>
      <c r="AR17" s="623"/>
      <c r="AS17" s="624"/>
      <c r="AT17" s="628"/>
      <c r="BJ17" s="974" t="s">
        <v>872</v>
      </c>
      <c r="BL17" s="974" t="s">
        <v>872</v>
      </c>
      <c r="BO17" s="974" t="s">
        <v>872</v>
      </c>
    </row>
    <row r="18" spans="1:77"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122"/>
      <c r="AK18" s="8"/>
      <c r="AL18" s="122"/>
      <c r="AM18" s="8"/>
      <c r="AN18" s="126"/>
      <c r="AP18" s="122"/>
      <c r="AQ18" s="8"/>
      <c r="AR18" s="623"/>
      <c r="AS18" s="623"/>
      <c r="AT18" s="628"/>
      <c r="BJ18" s="974" t="s">
        <v>5</v>
      </c>
      <c r="BL18" s="974" t="s">
        <v>7</v>
      </c>
      <c r="BO18" s="77" t="s">
        <v>968</v>
      </c>
    </row>
    <row r="19" spans="1:77"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122"/>
      <c r="AK19" s="8"/>
      <c r="AL19" s="122"/>
      <c r="AM19" s="8"/>
      <c r="AN19" s="126"/>
      <c r="AP19" s="122"/>
      <c r="AQ19" s="8"/>
      <c r="AR19" s="623"/>
      <c r="AS19" s="623"/>
      <c r="AT19" s="628"/>
      <c r="AW19" s="473"/>
      <c r="AX19" s="473"/>
      <c r="AY19" s="473"/>
      <c r="AZ19" s="473"/>
      <c r="BA19" s="473"/>
      <c r="BB19" s="473"/>
      <c r="BC19" s="473"/>
      <c r="BD19" s="473"/>
      <c r="BE19" s="473"/>
      <c r="BF19" s="473"/>
      <c r="BG19" s="970"/>
      <c r="BH19" s="485"/>
      <c r="BI19" s="485"/>
      <c r="BJ19" s="485" t="s">
        <v>961</v>
      </c>
      <c r="BK19" s="485" t="s">
        <v>967</v>
      </c>
      <c r="BL19" s="485" t="s">
        <v>59</v>
      </c>
      <c r="BM19" s="485" t="s">
        <v>1343</v>
      </c>
      <c r="BN19" s="485" t="s">
        <v>1344</v>
      </c>
      <c r="BO19" s="485"/>
      <c r="BP19" s="473"/>
      <c r="BQ19" s="485" t="s">
        <v>966</v>
      </c>
      <c r="BR19" s="485" t="s">
        <v>974</v>
      </c>
      <c r="BS19" s="485" t="s">
        <v>965</v>
      </c>
      <c r="BT19" s="485" t="s">
        <v>965</v>
      </c>
      <c r="BU19" s="485" t="s">
        <v>1345</v>
      </c>
      <c r="BV19" s="305" t="s">
        <v>1286</v>
      </c>
      <c r="BW19" s="304"/>
    </row>
    <row r="20" spans="1:77"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122"/>
      <c r="AK20" s="450" t="s">
        <v>285</v>
      </c>
      <c r="AL20" s="122"/>
      <c r="AM20" s="8"/>
      <c r="AN20" s="126"/>
      <c r="AP20" s="122"/>
      <c r="AQ20" s="450" t="s">
        <v>285</v>
      </c>
      <c r="AR20" s="623"/>
      <c r="AS20" s="623"/>
      <c r="AT20" s="628"/>
      <c r="AW20" s="473"/>
      <c r="AX20" s="473"/>
      <c r="AY20" s="473"/>
      <c r="AZ20" s="473"/>
      <c r="BA20" s="473"/>
      <c r="BB20" s="473"/>
      <c r="BC20" s="473"/>
      <c r="BD20" s="473"/>
      <c r="BE20" s="473"/>
      <c r="BF20" s="473"/>
      <c r="BG20" s="970"/>
      <c r="BH20" s="485"/>
      <c r="BI20" s="485"/>
      <c r="BJ20" s="971">
        <f>'POP Dimensions'!C15</f>
        <v>10737418.24</v>
      </c>
      <c r="BK20" s="954">
        <v>64</v>
      </c>
      <c r="BL20" s="972">
        <f>BK20*BJ20</f>
        <v>687194767.36000001</v>
      </c>
      <c r="BM20" s="954">
        <v>16</v>
      </c>
      <c r="BN20" s="954"/>
      <c r="BO20" s="971">
        <f>BL20*BM20</f>
        <v>10995116277.76</v>
      </c>
      <c r="BP20" s="473"/>
      <c r="BQ20" s="485" t="s">
        <v>785</v>
      </c>
      <c r="BR20" s="485"/>
      <c r="BS20" s="485" t="s">
        <v>962</v>
      </c>
      <c r="BT20" s="485" t="s">
        <v>1341</v>
      </c>
      <c r="BU20" s="485" t="s">
        <v>1342</v>
      </c>
      <c r="BV20" s="305"/>
      <c r="BW20" s="304"/>
    </row>
    <row r="21" spans="1:77" ht="16.2" thickBot="1" x14ac:dyDescent="0.35">
      <c r="C21" s="149" t="s">
        <v>737</v>
      </c>
      <c r="D21" s="610">
        <f>E21/E8</f>
        <v>0.27525019040331244</v>
      </c>
      <c r="E21" s="151">
        <f>'UCS™ TWF Ťenders'!D131</f>
        <v>5910952.8300000001</v>
      </c>
      <c r="F21" s="1092">
        <v>0.3</v>
      </c>
      <c r="G21" s="151">
        <f>E21*F21</f>
        <v>1773285.8489999999</v>
      </c>
      <c r="H21" s="465">
        <v>0.9</v>
      </c>
      <c r="I21" s="151">
        <f>G21*H21</f>
        <v>1595957.2641</v>
      </c>
      <c r="J21" s="465">
        <v>0.95</v>
      </c>
      <c r="K21" s="444">
        <f>I21*J21</f>
        <v>1516159.400895</v>
      </c>
      <c r="L21" s="152">
        <f>H21</f>
        <v>0.9</v>
      </c>
      <c r="M21" s="444">
        <f>K21*L21</f>
        <v>1364543.4608054999</v>
      </c>
      <c r="N21" s="152">
        <f>J21</f>
        <v>0.95</v>
      </c>
      <c r="O21" s="444">
        <f>M21*N21</f>
        <v>1296316.2877652249</v>
      </c>
      <c r="P21" s="152">
        <f>L21</f>
        <v>0.9</v>
      </c>
      <c r="Q21" s="444">
        <f>O21*P21</f>
        <v>1166684.6589887026</v>
      </c>
      <c r="R21" s="152">
        <f>N21</f>
        <v>0.95</v>
      </c>
      <c r="S21" s="444">
        <f>Q21*R21</f>
        <v>1108350.4260392673</v>
      </c>
      <c r="T21" s="152">
        <f>P21</f>
        <v>0.9</v>
      </c>
      <c r="U21" s="444">
        <f>S21*T21</f>
        <v>997515.3834353406</v>
      </c>
      <c r="V21" s="152">
        <f>R21</f>
        <v>0.95</v>
      </c>
      <c r="W21" s="444">
        <f>U21*V21</f>
        <v>947639.61426357355</v>
      </c>
      <c r="X21" s="152">
        <f>T21</f>
        <v>0.9</v>
      </c>
      <c r="Y21" s="444">
        <f>W21*X21</f>
        <v>852875.65283721616</v>
      </c>
      <c r="Z21" s="152">
        <f>V21</f>
        <v>0.95</v>
      </c>
      <c r="AA21" s="444">
        <f>Y21*Z21</f>
        <v>810231.87019535527</v>
      </c>
      <c r="AB21" s="152">
        <f>X21</f>
        <v>0.9</v>
      </c>
      <c r="AC21" s="444">
        <f>AA21*AB21</f>
        <v>729208.68317581981</v>
      </c>
      <c r="AD21" s="152">
        <f>Z21</f>
        <v>0.95</v>
      </c>
      <c r="AE21" s="444">
        <f>AC21*AD21</f>
        <v>692748.24901702884</v>
      </c>
      <c r="AF21" s="152">
        <f>AB21</f>
        <v>0.9</v>
      </c>
      <c r="AG21" s="444">
        <f>AE21*AF21</f>
        <v>623473.42411532602</v>
      </c>
      <c r="AH21" s="152">
        <f>AD21</f>
        <v>0.95</v>
      </c>
      <c r="AI21" s="444">
        <f>AG21*AH21</f>
        <v>592299.75290955964</v>
      </c>
      <c r="AJ21" s="152">
        <f>AF21</f>
        <v>0.9</v>
      </c>
      <c r="AK21" s="444">
        <f>AI21*AJ21</f>
        <v>533069.77761860366</v>
      </c>
      <c r="AL21" s="152">
        <f>AH21</f>
        <v>0.95</v>
      </c>
      <c r="AM21" s="444">
        <f>AK21*AL21</f>
        <v>506416.28873767343</v>
      </c>
      <c r="AN21" s="161">
        <f>G21+I21+M21+Q21+U21+Y21+AC21+AG21+AK21</f>
        <v>9636614.1540765092</v>
      </c>
      <c r="AP21" s="594">
        <f>AJ21</f>
        <v>0.9</v>
      </c>
      <c r="AQ21" s="444">
        <f>AM21*AP21</f>
        <v>455774.6598639061</v>
      </c>
      <c r="AR21" s="623"/>
      <c r="AS21" s="624"/>
      <c r="AT21" s="628"/>
      <c r="AW21" s="473"/>
      <c r="BM21" s="976"/>
      <c r="BN21" s="976"/>
      <c r="BW21" s="913"/>
    </row>
    <row r="22" spans="1:77"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437"/>
      <c r="AK22" s="449" t="s">
        <v>738</v>
      </c>
      <c r="AL22" s="433"/>
      <c r="AM22" s="434"/>
      <c r="AN22" s="180"/>
      <c r="AP22" s="437"/>
      <c r="AQ22" s="449" t="s">
        <v>738</v>
      </c>
      <c r="AR22" s="623"/>
      <c r="AS22" s="623"/>
      <c r="AT22" s="628"/>
      <c r="AW22" s="473"/>
      <c r="BD22" s="1" t="s">
        <v>955</v>
      </c>
      <c r="BH22" s="581" t="s">
        <v>964</v>
      </c>
      <c r="BI22" s="75"/>
      <c r="BJ22" s="75"/>
      <c r="BK22" s="986"/>
      <c r="BL22" s="896"/>
      <c r="BM22" s="980"/>
      <c r="BN22" s="980"/>
      <c r="BO22" s="75"/>
      <c r="BQ22" s="75"/>
      <c r="BR22" s="76"/>
      <c r="BS22" s="75"/>
      <c r="BT22" s="76">
        <f>BT31</f>
        <v>1372242051.072</v>
      </c>
      <c r="BU22" s="75"/>
      <c r="BV22" s="910"/>
      <c r="BW22" s="304"/>
    </row>
    <row r="23" spans="1:77" ht="16.2" thickBot="1" x14ac:dyDescent="0.35">
      <c r="C23" s="141"/>
      <c r="D23" s="94">
        <f>SUM(D14:D21)</f>
        <v>1</v>
      </c>
      <c r="E23" s="371"/>
      <c r="F23" s="1093">
        <v>0.25</v>
      </c>
      <c r="G23" s="432">
        <f>E21*F23</f>
        <v>1477738.2075</v>
      </c>
      <c r="H23" s="466">
        <v>0.9</v>
      </c>
      <c r="I23" s="432">
        <f>G23*H23</f>
        <v>1329964.3867500001</v>
      </c>
      <c r="J23" s="466">
        <v>0.95</v>
      </c>
      <c r="K23" s="449">
        <f>I23*J23</f>
        <v>1263466.1674124999</v>
      </c>
      <c r="L23" s="430">
        <f>H23</f>
        <v>0.9</v>
      </c>
      <c r="M23" s="449">
        <f>K23*L23</f>
        <v>1137119.5506712499</v>
      </c>
      <c r="N23" s="430">
        <f>J23</f>
        <v>0.95</v>
      </c>
      <c r="O23" s="449">
        <f>M23*N23</f>
        <v>1080263.5731376873</v>
      </c>
      <c r="P23" s="430">
        <f>L23</f>
        <v>0.9</v>
      </c>
      <c r="Q23" s="449">
        <f>O23*P23</f>
        <v>972237.21582391858</v>
      </c>
      <c r="R23" s="430">
        <f>N23</f>
        <v>0.95</v>
      </c>
      <c r="S23" s="449">
        <f>Q23*R23</f>
        <v>923625.35503272258</v>
      </c>
      <c r="T23" s="430">
        <f>P23</f>
        <v>0.9</v>
      </c>
      <c r="U23" s="449">
        <f>S23*T23</f>
        <v>831262.81952945038</v>
      </c>
      <c r="V23" s="430">
        <f>R23</f>
        <v>0.95</v>
      </c>
      <c r="W23" s="449">
        <f>U23*V23</f>
        <v>789699.67855297786</v>
      </c>
      <c r="X23" s="430">
        <f>T23</f>
        <v>0.9</v>
      </c>
      <c r="Y23" s="449">
        <f>W23*X23</f>
        <v>710729.71069768013</v>
      </c>
      <c r="Z23" s="430">
        <f>V23</f>
        <v>0.95</v>
      </c>
      <c r="AA23" s="449">
        <f>Y23*Z23</f>
        <v>675193.22516279609</v>
      </c>
      <c r="AB23" s="430">
        <f>X23</f>
        <v>0.9</v>
      </c>
      <c r="AC23" s="449">
        <f>AA23*AB23</f>
        <v>607673.90264651645</v>
      </c>
      <c r="AD23" s="430">
        <f>Z23</f>
        <v>0.95</v>
      </c>
      <c r="AE23" s="449">
        <f>AC23*AD23</f>
        <v>577290.20751419058</v>
      </c>
      <c r="AF23" s="430">
        <f>AB23</f>
        <v>0.9</v>
      </c>
      <c r="AG23" s="449">
        <f>AE23*AF23</f>
        <v>519561.18676277151</v>
      </c>
      <c r="AH23" s="430">
        <f>AD23</f>
        <v>0.95</v>
      </c>
      <c r="AI23" s="449">
        <f>AG23*AH23</f>
        <v>493583.1274246329</v>
      </c>
      <c r="AJ23" s="430">
        <f>AF23</f>
        <v>0.9</v>
      </c>
      <c r="AK23" s="449">
        <f>AI23*AJ23</f>
        <v>444224.81468216964</v>
      </c>
      <c r="AL23" s="430">
        <f>AH23</f>
        <v>0.95</v>
      </c>
      <c r="AM23" s="449">
        <f>AK23*AL23</f>
        <v>422013.57394806115</v>
      </c>
      <c r="AN23" s="161">
        <f>G23+I23+M23+Q23+U23+Y23+AC23+AG23+AK23</f>
        <v>8030511.7950637564</v>
      </c>
      <c r="AP23" s="595">
        <f>AJ23</f>
        <v>0.9</v>
      </c>
      <c r="AQ23" s="449">
        <f>AM23*AP23</f>
        <v>379812.21655325504</v>
      </c>
      <c r="AR23" s="623"/>
      <c r="AS23" s="624"/>
      <c r="AT23" s="628"/>
      <c r="AW23" s="473"/>
      <c r="BB23" s="982" t="s">
        <v>989</v>
      </c>
      <c r="BC23" s="983">
        <v>2016</v>
      </c>
      <c r="BD23" s="910">
        <v>75543543000000</v>
      </c>
      <c r="BE23" s="984">
        <v>2.5000000000000001E-2</v>
      </c>
      <c r="BF23" s="910">
        <f>BD23*BE23</f>
        <v>1888588575000</v>
      </c>
      <c r="BH23" s="75"/>
      <c r="BI23" s="968">
        <v>2016</v>
      </c>
      <c r="BJ23" s="305">
        <f>BJ20</f>
        <v>10737418.24</v>
      </c>
      <c r="BK23" s="986">
        <v>64</v>
      </c>
      <c r="BL23" s="411">
        <f t="shared" ref="BL23:BL35" si="0">BK23*BJ23</f>
        <v>687194767.36000001</v>
      </c>
      <c r="BM23" s="980"/>
      <c r="BN23" s="980"/>
      <c r="BO23" s="305">
        <f t="shared" ref="BO23:BO35" si="1">BL23*BM23</f>
        <v>0</v>
      </c>
      <c r="BQ23" s="75"/>
      <c r="BR23" s="76"/>
      <c r="BS23" s="75"/>
      <c r="BT23" s="953">
        <v>25000</v>
      </c>
      <c r="BU23" s="968" t="s">
        <v>1349</v>
      </c>
      <c r="BV23" s="910"/>
      <c r="BW23" s="981">
        <v>2016</v>
      </c>
    </row>
    <row r="24" spans="1:77"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122"/>
      <c r="AK24" s="448" t="s">
        <v>294</v>
      </c>
      <c r="AL24" s="122"/>
      <c r="AM24" s="8"/>
      <c r="AN24" s="126"/>
      <c r="AP24" s="122"/>
      <c r="AQ24" s="448" t="s">
        <v>294</v>
      </c>
      <c r="AR24" s="623"/>
      <c r="AS24" s="623"/>
      <c r="AT24" s="628"/>
      <c r="AW24" s="473"/>
      <c r="BB24" s="982" t="s">
        <v>989</v>
      </c>
      <c r="BC24" s="983">
        <f>BC23+1</f>
        <v>2017</v>
      </c>
      <c r="BD24" s="910">
        <f>BD23+BF23</f>
        <v>77432131575000</v>
      </c>
      <c r="BE24" s="985">
        <f>BE23</f>
        <v>2.5000000000000001E-2</v>
      </c>
      <c r="BF24" s="910">
        <f>BD24*BE24</f>
        <v>1935803289375</v>
      </c>
      <c r="BH24" s="75"/>
      <c r="BI24" s="968">
        <f>BI23+1</f>
        <v>2017</v>
      </c>
      <c r="BJ24" s="305">
        <f>BJ20</f>
        <v>10737418.24</v>
      </c>
      <c r="BK24" s="986">
        <v>64</v>
      </c>
      <c r="BL24" s="411">
        <f t="shared" si="0"/>
        <v>687194767.36000001</v>
      </c>
      <c r="BM24" s="980"/>
      <c r="BN24" s="980"/>
      <c r="BO24" s="305">
        <f t="shared" si="1"/>
        <v>0</v>
      </c>
      <c r="BQ24" s="75"/>
      <c r="BR24" s="76"/>
      <c r="BS24" s="75"/>
      <c r="BT24" s="76">
        <f>BT22/BT23</f>
        <v>54889.682042879998</v>
      </c>
      <c r="BU24" s="75"/>
      <c r="BV24" s="910"/>
      <c r="BW24" s="981">
        <f>BW23+1</f>
        <v>2017</v>
      </c>
    </row>
    <row r="25" spans="1:77" ht="16.2" thickBot="1" x14ac:dyDescent="0.35">
      <c r="C25" s="122"/>
      <c r="D25" s="573" t="s">
        <v>1367</v>
      </c>
      <c r="E25" s="7"/>
      <c r="F25" s="1094">
        <v>0.2</v>
      </c>
      <c r="G25" s="99">
        <f>E21*F25</f>
        <v>1182190.5660000001</v>
      </c>
      <c r="H25" s="467">
        <v>0.9</v>
      </c>
      <c r="I25" s="99">
        <f>G25*H25</f>
        <v>1063971.5094000001</v>
      </c>
      <c r="J25" s="467">
        <v>0.95</v>
      </c>
      <c r="K25" s="443">
        <f>I25*J25</f>
        <v>1010772.9339300001</v>
      </c>
      <c r="L25" s="153">
        <f>H25</f>
        <v>0.9</v>
      </c>
      <c r="M25" s="443">
        <f>K25*L25</f>
        <v>909695.64053700003</v>
      </c>
      <c r="N25" s="153">
        <f>J25</f>
        <v>0.95</v>
      </c>
      <c r="O25" s="443">
        <f>M25*N25</f>
        <v>864210.85851014999</v>
      </c>
      <c r="P25" s="153">
        <f>L25</f>
        <v>0.9</v>
      </c>
      <c r="Q25" s="443">
        <f>O25*P25</f>
        <v>777789.77265913505</v>
      </c>
      <c r="R25" s="153">
        <f>N25</f>
        <v>0.95</v>
      </c>
      <c r="S25" s="443">
        <f>Q25*R25</f>
        <v>738900.2840261783</v>
      </c>
      <c r="T25" s="153">
        <f>P25</f>
        <v>0.9</v>
      </c>
      <c r="U25" s="443">
        <f>S25*T25</f>
        <v>665010.25562356052</v>
      </c>
      <c r="V25" s="153">
        <f>R25</f>
        <v>0.95</v>
      </c>
      <c r="W25" s="443">
        <f>U25*V25</f>
        <v>631759.7428423824</v>
      </c>
      <c r="X25" s="153">
        <f>T25</f>
        <v>0.9</v>
      </c>
      <c r="Y25" s="443">
        <f>W25*X25</f>
        <v>568583.76855814422</v>
      </c>
      <c r="Z25" s="153">
        <f>V25</f>
        <v>0.95</v>
      </c>
      <c r="AA25" s="443">
        <f>Y25*Z25</f>
        <v>540154.58013023704</v>
      </c>
      <c r="AB25" s="153">
        <f>X25</f>
        <v>0.9</v>
      </c>
      <c r="AC25" s="443">
        <f>AA25*AB25</f>
        <v>486139.12211721332</v>
      </c>
      <c r="AD25" s="153">
        <f>Z25</f>
        <v>0.95</v>
      </c>
      <c r="AE25" s="443">
        <f>AC25*AD25</f>
        <v>461832.16601135262</v>
      </c>
      <c r="AF25" s="153">
        <f>AB25</f>
        <v>0.9</v>
      </c>
      <c r="AG25" s="443">
        <f>AE25*AF25</f>
        <v>415648.94941021735</v>
      </c>
      <c r="AH25" s="153">
        <f>AD25</f>
        <v>0.95</v>
      </c>
      <c r="AI25" s="443">
        <f>AG25*AH25</f>
        <v>394866.50193970645</v>
      </c>
      <c r="AJ25" s="153">
        <f>AF25</f>
        <v>0.9</v>
      </c>
      <c r="AK25" s="443">
        <f>AI25*AJ25</f>
        <v>355379.8517457358</v>
      </c>
      <c r="AL25" s="153">
        <f>AH25</f>
        <v>0.95</v>
      </c>
      <c r="AM25" s="443">
        <f>AK25*AL25</f>
        <v>337610.85915844899</v>
      </c>
      <c r="AN25" s="161">
        <f>G25+I25+M25+Q25+U25+Y25+AC25+AG25+AK25</f>
        <v>6424409.4360510074</v>
      </c>
      <c r="AP25" s="596">
        <f>AJ25</f>
        <v>0.9</v>
      </c>
      <c r="AQ25" s="443">
        <f>AM25*AP25</f>
        <v>303849.7732426041</v>
      </c>
      <c r="AR25" s="623"/>
      <c r="AS25" s="624"/>
      <c r="AT25" s="628"/>
      <c r="AW25" s="473"/>
      <c r="BB25" s="982" t="s">
        <v>989</v>
      </c>
      <c r="BC25" s="983">
        <f t="shared" ref="BC25:BC35" si="2">BC24+1</f>
        <v>2018</v>
      </c>
      <c r="BD25" s="910">
        <f t="shared" ref="BD25:BD35" si="3">BD24+BF24</f>
        <v>79367934864375</v>
      </c>
      <c r="BE25" s="985">
        <f t="shared" ref="BE25:BE35" si="4">BE24</f>
        <v>2.5000000000000001E-2</v>
      </c>
      <c r="BF25" s="910">
        <f t="shared" ref="BF25:BF35" si="5">BD25*BE25</f>
        <v>1984198371609.375</v>
      </c>
      <c r="BH25" s="75"/>
      <c r="BI25" s="968">
        <f t="shared" ref="BI25:BI35" si="6">BI24+1</f>
        <v>2018</v>
      </c>
      <c r="BJ25" s="305">
        <f>BJ20</f>
        <v>10737418.24</v>
      </c>
      <c r="BK25" s="986">
        <v>64</v>
      </c>
      <c r="BL25" s="411">
        <f t="shared" si="0"/>
        <v>687194767.36000001</v>
      </c>
      <c r="BM25" s="980">
        <v>2.5000000000000001E-2</v>
      </c>
      <c r="BN25" s="980"/>
      <c r="BO25" s="305">
        <f t="shared" si="1"/>
        <v>17179869.184</v>
      </c>
      <c r="BP25" s="978" t="s">
        <v>1144</v>
      </c>
      <c r="BQ25" s="305">
        <f t="shared" ref="BQ25:BQ55" si="7">BO25</f>
        <v>17179869.184</v>
      </c>
      <c r="BR25" s="691">
        <f t="shared" ref="BR25:BR35" si="8">BQ25+BR24-BV25</f>
        <v>17179869.184</v>
      </c>
      <c r="BS25" s="893">
        <v>0.125</v>
      </c>
      <c r="BT25" s="973">
        <f>BR25*BS25</f>
        <v>2147483.648</v>
      </c>
      <c r="BU25" s="305">
        <f>AN58</f>
        <v>1342531553.5429084</v>
      </c>
      <c r="BV25" s="910">
        <f t="shared" ref="BV25:BV35" si="9">BL25*BN25</f>
        <v>0</v>
      </c>
      <c r="BW25" s="981">
        <f t="shared" ref="BW25:BW55" si="10">BW24+1</f>
        <v>2018</v>
      </c>
    </row>
    <row r="26" spans="1:77"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126"/>
      <c r="AP26" s="122"/>
      <c r="AQ26" s="452" t="s">
        <v>733</v>
      </c>
      <c r="AR26" s="623"/>
      <c r="AS26" s="623"/>
      <c r="AT26" s="628"/>
      <c r="AW26" s="473"/>
      <c r="BB26" s="982" t="s">
        <v>989</v>
      </c>
      <c r="BC26" s="983">
        <f t="shared" si="2"/>
        <v>2019</v>
      </c>
      <c r="BD26" s="910">
        <f t="shared" si="3"/>
        <v>81352133235984.375</v>
      </c>
      <c r="BE26" s="985">
        <f t="shared" si="4"/>
        <v>2.5000000000000001E-2</v>
      </c>
      <c r="BF26" s="910">
        <f t="shared" si="5"/>
        <v>2033803330899.6094</v>
      </c>
      <c r="BH26" s="75"/>
      <c r="BI26" s="968">
        <f t="shared" si="6"/>
        <v>2019</v>
      </c>
      <c r="BJ26" s="305">
        <f>BJ20</f>
        <v>10737418.24</v>
      </c>
      <c r="BK26" s="986">
        <v>64</v>
      </c>
      <c r="BL26" s="411">
        <f t="shared" si="0"/>
        <v>687194767.36000001</v>
      </c>
      <c r="BM26" s="980">
        <v>0.2</v>
      </c>
      <c r="BN26" s="980"/>
      <c r="BO26" s="305">
        <f t="shared" si="1"/>
        <v>137438953.472</v>
      </c>
      <c r="BP26" s="978" t="s">
        <v>1144</v>
      </c>
      <c r="BQ26" s="305">
        <f t="shared" si="7"/>
        <v>137438953.472</v>
      </c>
      <c r="BR26" s="691">
        <f t="shared" si="8"/>
        <v>154618822.65600002</v>
      </c>
      <c r="BS26" s="893">
        <f>BS25</f>
        <v>0.125</v>
      </c>
      <c r="BT26" s="973">
        <f t="shared" ref="BT26:BT55" si="11">BR26*BS26</f>
        <v>19327352.832000002</v>
      </c>
      <c r="BU26" s="305">
        <f>BU25</f>
        <v>1342531553.5429084</v>
      </c>
      <c r="BV26" s="910">
        <f t="shared" si="9"/>
        <v>0</v>
      </c>
      <c r="BW26" s="981">
        <f t="shared" si="10"/>
        <v>2019</v>
      </c>
    </row>
    <row r="27" spans="1:77" ht="19.2" thickBot="1" x14ac:dyDescent="0.5">
      <c r="C27" s="122"/>
      <c r="D27" s="574" t="s">
        <v>1369</v>
      </c>
      <c r="E27" s="7"/>
      <c r="F27" s="1096">
        <v>0.25</v>
      </c>
      <c r="G27" s="446">
        <f>E21*F27</f>
        <v>1477738.2075</v>
      </c>
      <c r="H27" s="447">
        <v>0.25</v>
      </c>
      <c r="I27" s="446">
        <f>G27*H27</f>
        <v>369434.551875</v>
      </c>
      <c r="J27" s="447">
        <v>0.95</v>
      </c>
      <c r="K27" s="439">
        <f>I27*J27</f>
        <v>350962.82428125001</v>
      </c>
      <c r="L27" s="438">
        <f>H27</f>
        <v>0.25</v>
      </c>
      <c r="M27" s="439">
        <f>K27*L27</f>
        <v>87740.706070312503</v>
      </c>
      <c r="N27" s="438">
        <f>J27</f>
        <v>0.95</v>
      </c>
      <c r="O27" s="439">
        <f>M27*N27</f>
        <v>83353.670766796873</v>
      </c>
      <c r="P27" s="438">
        <f>L27</f>
        <v>0.25</v>
      </c>
      <c r="Q27" s="439">
        <f>O27*P27</f>
        <v>20838.417691699218</v>
      </c>
      <c r="R27" s="438">
        <f>N27</f>
        <v>0.95</v>
      </c>
      <c r="S27" s="439">
        <f>Q27*R27</f>
        <v>19796.496807114258</v>
      </c>
      <c r="T27" s="438">
        <f>P27</f>
        <v>0.25</v>
      </c>
      <c r="U27" s="439">
        <f>S27*T27</f>
        <v>4949.1242017785644</v>
      </c>
      <c r="V27" s="438">
        <f>R27</f>
        <v>0.95</v>
      </c>
      <c r="W27" s="439">
        <f>U27*V27</f>
        <v>4701.6679916896355</v>
      </c>
      <c r="X27" s="438">
        <f>T27</f>
        <v>0.25</v>
      </c>
      <c r="Y27" s="439">
        <f>W27*X27</f>
        <v>1175.4169979224089</v>
      </c>
      <c r="Z27" s="438">
        <f>V27</f>
        <v>0.95</v>
      </c>
      <c r="AA27" s="439">
        <f>Y27*Z27</f>
        <v>1116.6461480262883</v>
      </c>
      <c r="AB27" s="438">
        <f>X27</f>
        <v>0.25</v>
      </c>
      <c r="AC27" s="439">
        <f>AA27*AB27</f>
        <v>279.16153700657208</v>
      </c>
      <c r="AD27" s="438">
        <f>Z27</f>
        <v>0.95</v>
      </c>
      <c r="AE27" s="439">
        <f>AC27*AD27</f>
        <v>265.20346015624347</v>
      </c>
      <c r="AF27" s="438">
        <f>AB27</f>
        <v>0.25</v>
      </c>
      <c r="AG27" s="439">
        <f>AE27*AF27</f>
        <v>66.300865039060866</v>
      </c>
      <c r="AH27" s="438">
        <f>AD27</f>
        <v>0.95</v>
      </c>
      <c r="AI27" s="439">
        <f>AG27*AH27</f>
        <v>62.985821787107817</v>
      </c>
      <c r="AJ27" s="438">
        <f>AF27</f>
        <v>0.25</v>
      </c>
      <c r="AK27" s="439">
        <f>AI27*AJ27</f>
        <v>15.746455446776954</v>
      </c>
      <c r="AL27" s="438">
        <f>AH27</f>
        <v>0.95</v>
      </c>
      <c r="AM27" s="439">
        <f>AK27*AL27</f>
        <v>14.959132674438106</v>
      </c>
      <c r="AN27" s="161">
        <f>G27+I27+M27+Q27+U27+Y27+AC27+AG27+AK27</f>
        <v>1962237.6331942049</v>
      </c>
      <c r="AP27" s="597">
        <f>AJ27</f>
        <v>0.25</v>
      </c>
      <c r="AQ27" s="439">
        <f>AM27*AP27</f>
        <v>3.7397831686095264</v>
      </c>
      <c r="AR27" s="623"/>
      <c r="AS27" s="624"/>
      <c r="AT27" s="628"/>
      <c r="AW27" s="473"/>
      <c r="BB27" s="982" t="s">
        <v>989</v>
      </c>
      <c r="BC27" s="983">
        <f t="shared" si="2"/>
        <v>2020</v>
      </c>
      <c r="BD27" s="910">
        <f t="shared" si="3"/>
        <v>83385936566883.984</v>
      </c>
      <c r="BE27" s="985">
        <f t="shared" si="4"/>
        <v>2.5000000000000001E-2</v>
      </c>
      <c r="BF27" s="910">
        <f t="shared" si="5"/>
        <v>2084648414172.0996</v>
      </c>
      <c r="BG27" s="895" t="s">
        <v>1283</v>
      </c>
      <c r="BH27" s="75"/>
      <c r="BI27" s="968">
        <f t="shared" si="6"/>
        <v>2020</v>
      </c>
      <c r="BJ27" s="305">
        <f>BJ20</f>
        <v>10737418.24</v>
      </c>
      <c r="BK27" s="986">
        <v>64</v>
      </c>
      <c r="BL27" s="411">
        <f t="shared" si="0"/>
        <v>687194767.36000001</v>
      </c>
      <c r="BM27" s="980">
        <v>1.5</v>
      </c>
      <c r="BN27" s="980"/>
      <c r="BO27" s="305">
        <f t="shared" si="1"/>
        <v>1030792151.04</v>
      </c>
      <c r="BP27" s="978" t="s">
        <v>1144</v>
      </c>
      <c r="BQ27" s="305">
        <f t="shared" si="7"/>
        <v>1030792151.04</v>
      </c>
      <c r="BR27" s="691">
        <f t="shared" si="8"/>
        <v>1185410973.6960001</v>
      </c>
      <c r="BS27" s="893">
        <f t="shared" ref="BS27:BS31" si="12">BS26</f>
        <v>0.125</v>
      </c>
      <c r="BT27" s="973">
        <f t="shared" si="11"/>
        <v>148176371.71200001</v>
      </c>
      <c r="BU27" s="305">
        <f t="shared" ref="BU27:BU55" si="13">BU26</f>
        <v>1342531553.5429084</v>
      </c>
      <c r="BV27" s="910">
        <f t="shared" si="9"/>
        <v>0</v>
      </c>
      <c r="BW27" s="981">
        <f t="shared" si="10"/>
        <v>2020</v>
      </c>
    </row>
    <row r="28" spans="1:77"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437"/>
      <c r="AK28" s="434"/>
      <c r="AL28" s="142"/>
      <c r="AM28" s="434"/>
      <c r="AN28" s="180"/>
      <c r="AP28" s="122"/>
      <c r="AQ28" s="8"/>
      <c r="AR28" s="623"/>
      <c r="AS28" s="624"/>
      <c r="AT28" s="629">
        <f>AQ5</f>
        <v>706498529.90229344</v>
      </c>
      <c r="AW28" s="473"/>
      <c r="BB28" s="982" t="s">
        <v>989</v>
      </c>
      <c r="BC28" s="983">
        <f t="shared" si="2"/>
        <v>2021</v>
      </c>
      <c r="BD28" s="910">
        <f t="shared" si="3"/>
        <v>85470584981056.078</v>
      </c>
      <c r="BE28" s="985">
        <f t="shared" si="4"/>
        <v>2.5000000000000001E-2</v>
      </c>
      <c r="BF28" s="910">
        <f t="shared" si="5"/>
        <v>2136764624526.4021</v>
      </c>
      <c r="BH28" s="75"/>
      <c r="BI28" s="968">
        <f t="shared" si="6"/>
        <v>2021</v>
      </c>
      <c r="BJ28" s="305">
        <f>BJ20</f>
        <v>10737418.24</v>
      </c>
      <c r="BK28" s="986">
        <v>64</v>
      </c>
      <c r="BL28" s="411">
        <f t="shared" si="0"/>
        <v>687194767.36000001</v>
      </c>
      <c r="BM28" s="980">
        <v>1.25</v>
      </c>
      <c r="BN28" s="980"/>
      <c r="BO28" s="305">
        <f t="shared" si="1"/>
        <v>858993459.20000005</v>
      </c>
      <c r="BP28" s="978" t="s">
        <v>1144</v>
      </c>
      <c r="BQ28" s="305">
        <f t="shared" si="7"/>
        <v>858993459.20000005</v>
      </c>
      <c r="BR28" s="691">
        <f t="shared" si="8"/>
        <v>2044404432.8960001</v>
      </c>
      <c r="BS28" s="893">
        <f t="shared" si="12"/>
        <v>0.125</v>
      </c>
      <c r="BT28" s="973">
        <f t="shared" si="11"/>
        <v>255550554.11200002</v>
      </c>
      <c r="BU28" s="305">
        <f t="shared" si="13"/>
        <v>1342531553.5429084</v>
      </c>
      <c r="BV28" s="910">
        <f t="shared" si="9"/>
        <v>0</v>
      </c>
      <c r="BW28" s="981">
        <f t="shared" si="10"/>
        <v>2021</v>
      </c>
    </row>
    <row r="29" spans="1:77"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122"/>
      <c r="AK29" s="8"/>
      <c r="AL29" s="122"/>
      <c r="AM29" s="8"/>
      <c r="AN29" s="180">
        <f>SUM(AN10:AN27)</f>
        <v>108879234.49711645</v>
      </c>
      <c r="AP29" s="179"/>
      <c r="AQ29" s="161">
        <f>SUM(AQ10:AQ28)</f>
        <v>5010999.7124234112</v>
      </c>
      <c r="AR29" s="1263">
        <v>128</v>
      </c>
      <c r="AS29" s="183">
        <f>AQ29*AR29</f>
        <v>641407963.19019663</v>
      </c>
      <c r="AT29" s="645">
        <f>AS29+AT28</f>
        <v>1347906493.0924902</v>
      </c>
      <c r="AU29" s="253" t="s">
        <v>1383</v>
      </c>
      <c r="AW29" s="473"/>
      <c r="BB29" s="982" t="s">
        <v>989</v>
      </c>
      <c r="BC29" s="983">
        <f>BC28+1</f>
        <v>2022</v>
      </c>
      <c r="BD29" s="910">
        <f>BD28+BF28</f>
        <v>87607349605582.484</v>
      </c>
      <c r="BE29" s="985">
        <f>BE28</f>
        <v>2.5000000000000001E-2</v>
      </c>
      <c r="BF29" s="910">
        <f t="shared" si="5"/>
        <v>2190183740139.5623</v>
      </c>
      <c r="BH29" s="75"/>
      <c r="BI29" s="968">
        <f>BI28+1</f>
        <v>2022</v>
      </c>
      <c r="BJ29" s="305">
        <f>BJ20</f>
        <v>10737418.24</v>
      </c>
      <c r="BK29" s="986">
        <v>64</v>
      </c>
      <c r="BL29" s="411">
        <f t="shared" si="0"/>
        <v>687194767.36000001</v>
      </c>
      <c r="BM29" s="980">
        <v>2</v>
      </c>
      <c r="BN29" s="980"/>
      <c r="BO29" s="305">
        <f t="shared" si="1"/>
        <v>1374389534.72</v>
      </c>
      <c r="BP29" s="978" t="s">
        <v>1144</v>
      </c>
      <c r="BQ29" s="305">
        <f t="shared" si="7"/>
        <v>1374389534.72</v>
      </c>
      <c r="BR29" s="691">
        <f t="shared" si="8"/>
        <v>3418793967.6160002</v>
      </c>
      <c r="BS29" s="893">
        <f t="shared" si="12"/>
        <v>0.125</v>
      </c>
      <c r="BT29" s="973">
        <f t="shared" si="11"/>
        <v>427349245.95200002</v>
      </c>
      <c r="BU29" s="305">
        <f t="shared" si="13"/>
        <v>1342531553.5429084</v>
      </c>
      <c r="BV29" s="910">
        <f t="shared" si="9"/>
        <v>0</v>
      </c>
      <c r="BW29" s="981">
        <f>BW28+1</f>
        <v>2022</v>
      </c>
    </row>
    <row r="30" spans="1:77" x14ac:dyDescent="0.3">
      <c r="C30" s="158"/>
      <c r="D30" s="10"/>
      <c r="E30" s="10"/>
      <c r="F30" s="10"/>
      <c r="G30" s="159">
        <f>SUM(G10:G29)</f>
        <v>21474836.48</v>
      </c>
      <c r="H30" s="599"/>
      <c r="I30" s="172">
        <f>SUM(I10:I29)</f>
        <v>18165496.405125</v>
      </c>
      <c r="J30" s="158"/>
      <c r="K30" s="11"/>
      <c r="L30" s="160"/>
      <c r="M30" s="161">
        <f>SUM(M10:M29)</f>
        <v>15207743.459399063</v>
      </c>
      <c r="N30" s="158"/>
      <c r="O30" s="11"/>
      <c r="P30" s="598"/>
      <c r="Q30" s="172">
        <f>SUM(Q10:Q29)</f>
        <v>12903016.459467782</v>
      </c>
      <c r="R30" s="158"/>
      <c r="S30" s="11"/>
      <c r="T30" s="160"/>
      <c r="U30" s="161">
        <f>SUM(U10:U29)</f>
        <v>10997634.801568326</v>
      </c>
      <c r="V30" s="158"/>
      <c r="W30" s="11"/>
      <c r="X30" s="598"/>
      <c r="Y30" s="172">
        <f>SUM(Y10:Y29)</f>
        <v>9389672.8106791228</v>
      </c>
      <c r="Z30" s="158"/>
      <c r="AA30" s="11"/>
      <c r="AB30" s="160"/>
      <c r="AC30" s="161">
        <f>SUM(AC10:AC29)</f>
        <v>8022576.2244125111</v>
      </c>
      <c r="AD30" s="158"/>
      <c r="AE30" s="11"/>
      <c r="AF30" s="598"/>
      <c r="AG30" s="172">
        <f>SUM(AG10:AG29)</f>
        <v>6856817.8904806841</v>
      </c>
      <c r="AH30" s="158"/>
      <c r="AI30" s="11"/>
      <c r="AJ30" s="179"/>
      <c r="AK30" s="161">
        <f>SUM(AK10:AK29)</f>
        <v>5861439.9659839412</v>
      </c>
      <c r="AL30" s="158"/>
      <c r="AM30" s="11"/>
      <c r="AN30" s="161">
        <f>G30+I30+M30+Q30+U30+Y30+AC30+AG30+AK30</f>
        <v>108879234.49711643</v>
      </c>
      <c r="AT30" s="253" t="s">
        <v>1383</v>
      </c>
      <c r="AW30" s="473"/>
      <c r="BB30" s="982" t="s">
        <v>989</v>
      </c>
      <c r="BC30" s="983">
        <f>BC29+1</f>
        <v>2023</v>
      </c>
      <c r="BD30" s="910">
        <f>BD29+BF29</f>
        <v>89797533345722.047</v>
      </c>
      <c r="BE30" s="985">
        <f>BE29</f>
        <v>2.5000000000000001E-2</v>
      </c>
      <c r="BF30" s="910">
        <f t="shared" si="5"/>
        <v>2244938333643.0513</v>
      </c>
      <c r="BH30" s="75"/>
      <c r="BI30" s="968">
        <f>BI29+1</f>
        <v>2023</v>
      </c>
      <c r="BJ30" s="305">
        <f>BJ20</f>
        <v>10737418.24</v>
      </c>
      <c r="BK30" s="986">
        <v>64</v>
      </c>
      <c r="BL30" s="411">
        <f t="shared" si="0"/>
        <v>687194767.36000001</v>
      </c>
      <c r="BM30" s="980">
        <v>3</v>
      </c>
      <c r="BN30" s="980"/>
      <c r="BO30" s="305">
        <f t="shared" si="1"/>
        <v>2061584302.0799999</v>
      </c>
      <c r="BP30" s="978" t="s">
        <v>1144</v>
      </c>
      <c r="BQ30" s="305">
        <f t="shared" si="7"/>
        <v>2061584302.0799999</v>
      </c>
      <c r="BR30" s="691">
        <f t="shared" si="8"/>
        <v>5480378269.6960001</v>
      </c>
      <c r="BS30" s="893">
        <f t="shared" si="12"/>
        <v>0.125</v>
      </c>
      <c r="BT30" s="973">
        <f t="shared" si="11"/>
        <v>685047283.71200001</v>
      </c>
      <c r="BU30" s="305">
        <f t="shared" si="13"/>
        <v>1342531553.5429084</v>
      </c>
      <c r="BV30" s="910">
        <f t="shared" si="9"/>
        <v>0</v>
      </c>
      <c r="BW30" s="981">
        <f>BW29+1</f>
        <v>2023</v>
      </c>
    </row>
    <row r="31" spans="1:77" x14ac:dyDescent="0.3">
      <c r="I31" s="30"/>
      <c r="Q31" s="30"/>
      <c r="Y31" s="30"/>
      <c r="AN31" s="999" t="s">
        <v>1355</v>
      </c>
      <c r="AP31" s="77" t="s">
        <v>1382</v>
      </c>
      <c r="AQ31" s="567">
        <f>AN34</f>
        <v>5.0700844497008459</v>
      </c>
      <c r="AR31" s="76"/>
      <c r="AS31" s="76" t="s">
        <v>957</v>
      </c>
      <c r="AW31" s="473"/>
      <c r="BB31" s="982" t="s">
        <v>989</v>
      </c>
      <c r="BC31" s="983">
        <f t="shared" si="2"/>
        <v>2024</v>
      </c>
      <c r="BD31" s="910">
        <f t="shared" si="3"/>
        <v>92042471679365.094</v>
      </c>
      <c r="BE31" s="985">
        <f t="shared" si="4"/>
        <v>2.5000000000000001E-2</v>
      </c>
      <c r="BF31" s="910">
        <f t="shared" si="5"/>
        <v>2301061791984.1274</v>
      </c>
      <c r="BG31" s="895" t="s">
        <v>1282</v>
      </c>
      <c r="BH31" s="75"/>
      <c r="BI31" s="968">
        <f t="shared" si="6"/>
        <v>2024</v>
      </c>
      <c r="BJ31" s="305">
        <f>BJ20</f>
        <v>10737418.24</v>
      </c>
      <c r="BK31" s="986">
        <v>64</v>
      </c>
      <c r="BL31" s="411">
        <f t="shared" si="0"/>
        <v>687194767.36000001</v>
      </c>
      <c r="BM31" s="980">
        <v>8</v>
      </c>
      <c r="BN31" s="980"/>
      <c r="BO31" s="305">
        <f t="shared" si="1"/>
        <v>5497558138.8800001</v>
      </c>
      <c r="BP31" s="978" t="s">
        <v>1144</v>
      </c>
      <c r="BQ31" s="305">
        <f t="shared" si="7"/>
        <v>5497558138.8800001</v>
      </c>
      <c r="BR31" s="691">
        <f t="shared" si="8"/>
        <v>10977936408.576</v>
      </c>
      <c r="BS31" s="893">
        <f t="shared" si="12"/>
        <v>0.125</v>
      </c>
      <c r="BT31" s="995">
        <f t="shared" si="11"/>
        <v>1372242051.072</v>
      </c>
      <c r="BU31" s="305">
        <f t="shared" si="13"/>
        <v>1342531553.5429084</v>
      </c>
      <c r="BV31" s="910">
        <f t="shared" si="9"/>
        <v>0</v>
      </c>
      <c r="BW31" s="981">
        <f t="shared" si="10"/>
        <v>2024</v>
      </c>
      <c r="BX31" s="1000">
        <v>0.125</v>
      </c>
      <c r="BY31" s="1001">
        <f>BT31*BS31</f>
        <v>171530256.384</v>
      </c>
    </row>
    <row r="32" spans="1:77" x14ac:dyDescent="0.3">
      <c r="A32" s="690"/>
      <c r="B32" s="690"/>
      <c r="I32" s="690"/>
      <c r="AM32" s="1150" t="s">
        <v>306</v>
      </c>
      <c r="AN32" s="182">
        <f>E8</f>
        <v>21474836.48</v>
      </c>
      <c r="AP32" s="736">
        <f>AN47</f>
        <v>5497558138.8800001</v>
      </c>
      <c r="AQ32" s="568">
        <f>AP32*AN34</f>
        <v>27873084031.26181</v>
      </c>
      <c r="AR32" s="208">
        <f>AO49</f>
        <v>0.66163000000000005</v>
      </c>
      <c r="AS32" s="691">
        <f>AQ32*AR32</f>
        <v>18441668587.603752</v>
      </c>
      <c r="AW32" s="473"/>
      <c r="BB32" s="332" t="s">
        <v>989</v>
      </c>
      <c r="BC32" s="953">
        <f>BC31+1</f>
        <v>2025</v>
      </c>
      <c r="BD32" s="691">
        <f>BD31+BF31</f>
        <v>94343533471349.219</v>
      </c>
      <c r="BE32" s="894">
        <f>BE31</f>
        <v>2.5000000000000001E-2</v>
      </c>
      <c r="BF32" s="691">
        <f t="shared" si="5"/>
        <v>2358588336783.7305</v>
      </c>
      <c r="BH32" s="332" t="s">
        <v>963</v>
      </c>
      <c r="BI32" s="953">
        <f>BI31+1</f>
        <v>2025</v>
      </c>
      <c r="BJ32" s="691">
        <f>BJ20</f>
        <v>10737418.24</v>
      </c>
      <c r="BK32" s="987">
        <v>64</v>
      </c>
      <c r="BL32" s="875">
        <f t="shared" si="0"/>
        <v>687194767.36000001</v>
      </c>
      <c r="BM32" s="977"/>
      <c r="BN32" s="977"/>
      <c r="BO32" s="691">
        <f t="shared" si="1"/>
        <v>0</v>
      </c>
      <c r="BQ32" s="691">
        <f t="shared" si="7"/>
        <v>0</v>
      </c>
      <c r="BR32" s="691">
        <f t="shared" si="8"/>
        <v>10977936408.576</v>
      </c>
      <c r="BS32" s="894">
        <f>BS31</f>
        <v>0.125</v>
      </c>
      <c r="BT32" s="975">
        <f t="shared" si="11"/>
        <v>1372242051.072</v>
      </c>
      <c r="BU32" s="691">
        <f t="shared" si="13"/>
        <v>1342531553.5429084</v>
      </c>
      <c r="BV32" s="183">
        <f t="shared" si="9"/>
        <v>0</v>
      </c>
      <c r="BW32" s="949">
        <f>BW31+1</f>
        <v>2025</v>
      </c>
    </row>
    <row r="33" spans="1:75" x14ac:dyDescent="0.3">
      <c r="I33" s="690"/>
      <c r="J33" s="18"/>
      <c r="K33" s="690"/>
      <c r="AM33" s="122" t="s">
        <v>307</v>
      </c>
      <c r="AN33" s="183">
        <f>AN29</f>
        <v>108879234.49711645</v>
      </c>
      <c r="AQ33" s="248"/>
      <c r="AS33" s="181"/>
      <c r="AW33" s="473"/>
      <c r="BB33" s="332" t="s">
        <v>989</v>
      </c>
      <c r="BC33" s="953">
        <f t="shared" si="2"/>
        <v>2026</v>
      </c>
      <c r="BD33" s="691">
        <f t="shared" si="3"/>
        <v>96702121808132.953</v>
      </c>
      <c r="BE33" s="894">
        <f t="shared" si="4"/>
        <v>2.5000000000000001E-2</v>
      </c>
      <c r="BF33" s="691">
        <f t="shared" si="5"/>
        <v>2417553045203.3237</v>
      </c>
      <c r="BH33" s="332"/>
      <c r="BI33" s="953">
        <f t="shared" si="6"/>
        <v>2026</v>
      </c>
      <c r="BJ33" s="691">
        <f>BJ20</f>
        <v>10737418.24</v>
      </c>
      <c r="BK33" s="987">
        <v>64</v>
      </c>
      <c r="BL33" s="875">
        <f t="shared" si="0"/>
        <v>687194767.36000001</v>
      </c>
      <c r="BM33" s="977"/>
      <c r="BN33" s="977"/>
      <c r="BO33" s="691">
        <f t="shared" si="1"/>
        <v>0</v>
      </c>
      <c r="BQ33" s="691">
        <f t="shared" si="7"/>
        <v>0</v>
      </c>
      <c r="BR33" s="691">
        <f t="shared" si="8"/>
        <v>10977936408.576</v>
      </c>
      <c r="BS33" s="894">
        <f>BS32</f>
        <v>0.125</v>
      </c>
      <c r="BT33" s="975">
        <f t="shared" si="11"/>
        <v>1372242051.072</v>
      </c>
      <c r="BU33" s="691">
        <f t="shared" si="13"/>
        <v>1342531553.5429084</v>
      </c>
      <c r="BV33" s="183">
        <f t="shared" si="9"/>
        <v>0</v>
      </c>
      <c r="BW33" s="949">
        <f t="shared" si="10"/>
        <v>2026</v>
      </c>
    </row>
    <row r="34" spans="1:75" x14ac:dyDescent="0.3">
      <c r="A34" s="690"/>
      <c r="B34" s="690"/>
      <c r="C34" s="900" t="s">
        <v>1036</v>
      </c>
      <c r="D34" s="901" t="s">
        <v>1287</v>
      </c>
      <c r="E34" s="4"/>
      <c r="F34" s="4"/>
      <c r="G34" s="5"/>
      <c r="AM34" s="1150" t="s">
        <v>310</v>
      </c>
      <c r="AN34" s="1517">
        <f>AN33/AN32</f>
        <v>5.0700844497008459</v>
      </c>
      <c r="AO34" s="239"/>
      <c r="AP34" s="239" t="s">
        <v>974</v>
      </c>
      <c r="AQ34" s="248" t="s">
        <v>1384</v>
      </c>
      <c r="AR34" s="239"/>
      <c r="AS34" s="181"/>
      <c r="AW34" s="473"/>
      <c r="BB34" s="332" t="s">
        <v>989</v>
      </c>
      <c r="BC34" s="953">
        <f t="shared" si="2"/>
        <v>2027</v>
      </c>
      <c r="BD34" s="691">
        <f t="shared" si="3"/>
        <v>99119674853336.281</v>
      </c>
      <c r="BE34" s="894">
        <f t="shared" si="4"/>
        <v>2.5000000000000001E-2</v>
      </c>
      <c r="BF34" s="691">
        <f t="shared" si="5"/>
        <v>2477991871333.4072</v>
      </c>
      <c r="BH34" s="76"/>
      <c r="BI34" s="953">
        <f t="shared" si="6"/>
        <v>2027</v>
      </c>
      <c r="BJ34" s="691">
        <f>BJ20</f>
        <v>10737418.24</v>
      </c>
      <c r="BK34" s="987">
        <v>64</v>
      </c>
      <c r="BL34" s="875">
        <f t="shared" si="0"/>
        <v>687194767.36000001</v>
      </c>
      <c r="BM34" s="977">
        <v>8</v>
      </c>
      <c r="BN34" s="977"/>
      <c r="BO34" s="691">
        <f t="shared" si="1"/>
        <v>5497558138.8800001</v>
      </c>
      <c r="BQ34" s="691">
        <f t="shared" si="7"/>
        <v>5497558138.8800001</v>
      </c>
      <c r="BR34" s="691">
        <f t="shared" si="8"/>
        <v>16475494547.456001</v>
      </c>
      <c r="BS34" s="894">
        <f t="shared" ref="BS34:BS55" si="14">BS33</f>
        <v>0.125</v>
      </c>
      <c r="BT34" s="975">
        <f t="shared" si="11"/>
        <v>2059436818.4320002</v>
      </c>
      <c r="BU34" s="691">
        <f t="shared" si="13"/>
        <v>1342531553.5429084</v>
      </c>
      <c r="BV34" s="183">
        <f t="shared" si="9"/>
        <v>0</v>
      </c>
      <c r="BW34" s="949">
        <f t="shared" si="10"/>
        <v>2027</v>
      </c>
    </row>
    <row r="35" spans="1:75" x14ac:dyDescent="0.3">
      <c r="A35" s="690"/>
      <c r="B35" s="690"/>
      <c r="C35" s="122" t="s">
        <v>732</v>
      </c>
      <c r="D35" s="287" t="s">
        <v>1288</v>
      </c>
      <c r="E35" s="7" t="s">
        <v>1289</v>
      </c>
      <c r="F35" s="7"/>
      <c r="G35" s="8"/>
      <c r="AL35" s="38"/>
      <c r="AM35" s="1150" t="s">
        <v>785</v>
      </c>
      <c r="AN35" s="472">
        <f>E11+E5</f>
        <v>5497558138.8800001</v>
      </c>
      <c r="AO35" s="473"/>
      <c r="AP35" s="472">
        <f>BO31</f>
        <v>5497558138.8800001</v>
      </c>
      <c r="AQ35" s="472">
        <f>AP35-AN35</f>
        <v>0</v>
      </c>
      <c r="AR35" s="473"/>
      <c r="AS35" s="563"/>
      <c r="AT35" s="473"/>
      <c r="AU35" s="473"/>
      <c r="AV35" s="473"/>
      <c r="AW35" s="473"/>
      <c r="AX35" s="88"/>
      <c r="AY35" s="88"/>
      <c r="AZ35" s="88"/>
      <c r="BA35" s="88"/>
      <c r="BB35" s="332" t="s">
        <v>989</v>
      </c>
      <c r="BC35" s="953">
        <f t="shared" si="2"/>
        <v>2028</v>
      </c>
      <c r="BD35" s="691">
        <f t="shared" si="3"/>
        <v>101597666724669.69</v>
      </c>
      <c r="BE35" s="894">
        <f t="shared" si="4"/>
        <v>2.5000000000000001E-2</v>
      </c>
      <c r="BF35" s="691">
        <f t="shared" si="5"/>
        <v>2539941668116.7422</v>
      </c>
      <c r="BH35" s="76"/>
      <c r="BI35" s="953">
        <f t="shared" si="6"/>
        <v>2028</v>
      </c>
      <c r="BJ35" s="691">
        <f>BJ20</f>
        <v>10737418.24</v>
      </c>
      <c r="BK35" s="987">
        <v>64</v>
      </c>
      <c r="BL35" s="875">
        <f t="shared" si="0"/>
        <v>687194767.36000001</v>
      </c>
      <c r="BM35" s="977"/>
      <c r="BN35" s="977"/>
      <c r="BO35" s="691">
        <f t="shared" si="1"/>
        <v>0</v>
      </c>
      <c r="BQ35" s="691">
        <f t="shared" si="7"/>
        <v>0</v>
      </c>
      <c r="BR35" s="691">
        <f t="shared" si="8"/>
        <v>16475494547.456001</v>
      </c>
      <c r="BS35" s="894">
        <f t="shared" si="14"/>
        <v>0.125</v>
      </c>
      <c r="BT35" s="975">
        <f t="shared" si="11"/>
        <v>2059436818.4320002</v>
      </c>
      <c r="BU35" s="691">
        <f t="shared" si="13"/>
        <v>1342531553.5429084</v>
      </c>
      <c r="BV35" s="183">
        <f t="shared" si="9"/>
        <v>0</v>
      </c>
      <c r="BW35" s="949">
        <f t="shared" si="10"/>
        <v>2028</v>
      </c>
    </row>
    <row r="36" spans="1:75" x14ac:dyDescent="0.3">
      <c r="A36" s="690"/>
      <c r="B36" s="690"/>
      <c r="C36" s="1151">
        <v>32</v>
      </c>
      <c r="D36" s="411">
        <f>'POP Dimensions'!J15</f>
        <v>21474836.48</v>
      </c>
      <c r="E36" s="411">
        <f>C36*D36</f>
        <v>687194767.36000001</v>
      </c>
      <c r="F36" s="896"/>
      <c r="G36" s="902" t="s">
        <v>732</v>
      </c>
      <c r="AL36" s="38"/>
      <c r="AM36" s="1206" t="s">
        <v>1445</v>
      </c>
      <c r="AN36" s="1207">
        <v>0</v>
      </c>
      <c r="AO36" s="88"/>
      <c r="AP36" s="511"/>
      <c r="AQ36" s="511"/>
      <c r="AR36" s="88"/>
      <c r="AS36" s="181"/>
      <c r="AT36" s="88"/>
      <c r="AU36" s="88"/>
      <c r="AV36" s="616">
        <f>AS47*AX47</f>
        <v>243413685761.43161</v>
      </c>
      <c r="AW36" s="617" t="s">
        <v>778</v>
      </c>
      <c r="AX36" s="88"/>
      <c r="AY36" s="88"/>
      <c r="AZ36" s="88"/>
      <c r="BA36" s="88"/>
      <c r="BB36" s="332" t="s">
        <v>989</v>
      </c>
      <c r="BC36" s="953">
        <f>BC35+1</f>
        <v>2029</v>
      </c>
      <c r="BD36" s="691">
        <f>BD35+BF35</f>
        <v>104137608392786.44</v>
      </c>
      <c r="BE36" s="894">
        <f>BE35</f>
        <v>2.5000000000000001E-2</v>
      </c>
      <c r="BF36" s="691">
        <f>BD36*BE36</f>
        <v>2603440209819.6611</v>
      </c>
      <c r="BH36" s="76"/>
      <c r="BI36" s="953">
        <f>BI35+1</f>
        <v>2029</v>
      </c>
      <c r="BJ36" s="691">
        <f>BJ20</f>
        <v>10737418.24</v>
      </c>
      <c r="BK36" s="987">
        <v>64</v>
      </c>
      <c r="BL36" s="875">
        <f>BK36*BJ36</f>
        <v>687194767.36000001</v>
      </c>
      <c r="BM36" s="977"/>
      <c r="BN36" s="977"/>
      <c r="BO36" s="691">
        <f>BL36*BM36</f>
        <v>0</v>
      </c>
      <c r="BQ36" s="691">
        <f t="shared" si="7"/>
        <v>0</v>
      </c>
      <c r="BR36" s="691">
        <f>BQ36+BR35-BV36</f>
        <v>16475494547.456001</v>
      </c>
      <c r="BS36" s="894">
        <f t="shared" si="14"/>
        <v>0.125</v>
      </c>
      <c r="BT36" s="975">
        <f t="shared" si="11"/>
        <v>2059436818.4320002</v>
      </c>
      <c r="BU36" s="691">
        <f t="shared" si="13"/>
        <v>1342531553.5429084</v>
      </c>
      <c r="BV36" s="183">
        <f>BL36*BN36</f>
        <v>0</v>
      </c>
      <c r="BW36" s="949">
        <f t="shared" si="10"/>
        <v>2029</v>
      </c>
    </row>
    <row r="37" spans="1:75" x14ac:dyDescent="0.3">
      <c r="A37" s="690"/>
      <c r="B37" s="690"/>
      <c r="C37" s="1152">
        <f>C36*2</f>
        <v>64</v>
      </c>
      <c r="D37" s="897">
        <f>D36</f>
        <v>21474836.48</v>
      </c>
      <c r="E37" s="897">
        <f t="shared" ref="E37:E43" si="15">C37*D37</f>
        <v>1374389534.72</v>
      </c>
      <c r="F37" s="874"/>
      <c r="G37" s="903" t="s">
        <v>732</v>
      </c>
      <c r="AL37" s="38"/>
      <c r="AM37" s="1206" t="s">
        <v>1444</v>
      </c>
      <c r="AN37" s="1207">
        <v>0</v>
      </c>
      <c r="AO37" s="88"/>
      <c r="AP37" s="511"/>
      <c r="AQ37" s="511"/>
      <c r="AR37" s="88"/>
      <c r="AS37" s="181"/>
      <c r="AT37" s="88"/>
      <c r="AU37" s="88"/>
      <c r="AV37" s="616"/>
      <c r="AW37" s="617"/>
      <c r="AX37" s="88"/>
      <c r="AY37" s="88"/>
      <c r="AZ37" s="88"/>
      <c r="BA37" s="88"/>
      <c r="BB37" s="332" t="s">
        <v>989</v>
      </c>
      <c r="BC37" s="953">
        <f>BC36+1</f>
        <v>2030</v>
      </c>
      <c r="BD37" s="691">
        <f>BD36+BF36</f>
        <v>106741048602606.09</v>
      </c>
      <c r="BE37" s="894">
        <f>BE36</f>
        <v>2.5000000000000001E-2</v>
      </c>
      <c r="BF37" s="691">
        <f>BD37*BE37</f>
        <v>2668526215065.1523</v>
      </c>
      <c r="BH37" s="76"/>
      <c r="BI37" s="953">
        <f>BI36+1</f>
        <v>2030</v>
      </c>
      <c r="BJ37" s="691">
        <f>BJ20</f>
        <v>10737418.24</v>
      </c>
      <c r="BK37" s="987">
        <v>64</v>
      </c>
      <c r="BL37" s="875">
        <f t="shared" ref="BL37:BL55" si="16">BK37*BJ37</f>
        <v>687194767.36000001</v>
      </c>
      <c r="BM37" s="977"/>
      <c r="BN37" s="977"/>
      <c r="BO37" s="691">
        <f t="shared" ref="BO37:BO55" si="17">BL37*BM37</f>
        <v>0</v>
      </c>
      <c r="BQ37" s="691">
        <f t="shared" si="7"/>
        <v>0</v>
      </c>
      <c r="BR37" s="691">
        <f>BQ37+BR36-BV37</f>
        <v>16475494547.456001</v>
      </c>
      <c r="BS37" s="894">
        <f t="shared" si="14"/>
        <v>0.125</v>
      </c>
      <c r="BT37" s="975">
        <f t="shared" si="11"/>
        <v>2059436818.4320002</v>
      </c>
      <c r="BU37" s="691">
        <f t="shared" si="13"/>
        <v>1342531553.5429084</v>
      </c>
      <c r="BV37" s="183">
        <f>BL37*BN37</f>
        <v>0</v>
      </c>
      <c r="BW37" s="949">
        <f t="shared" si="10"/>
        <v>2030</v>
      </c>
    </row>
    <row r="38" spans="1:75" x14ac:dyDescent="0.3">
      <c r="A38" s="690"/>
      <c r="B38" s="690"/>
      <c r="C38" s="1121">
        <f>C37*2</f>
        <v>128</v>
      </c>
      <c r="D38" s="875">
        <f t="shared" ref="D38:D43" si="18">D37</f>
        <v>21474836.48</v>
      </c>
      <c r="E38" s="875">
        <f t="shared" si="15"/>
        <v>2748779069.4400001</v>
      </c>
      <c r="F38" s="410"/>
      <c r="G38" s="126" t="s">
        <v>732</v>
      </c>
      <c r="AI38" s="1162" t="s">
        <v>1435</v>
      </c>
      <c r="AJ38" s="1160"/>
      <c r="AK38" s="1160"/>
      <c r="AL38" s="1160"/>
      <c r="AM38" s="1161" t="s">
        <v>1284</v>
      </c>
      <c r="AN38" s="1164">
        <v>0</v>
      </c>
      <c r="AO38" s="88"/>
      <c r="AP38" s="88"/>
      <c r="AQ38" s="253"/>
      <c r="AR38" s="88"/>
      <c r="AS38" s="181"/>
      <c r="BB38" s="332" t="s">
        <v>989</v>
      </c>
      <c r="BC38" s="953">
        <f>BC37+1</f>
        <v>2031</v>
      </c>
      <c r="BD38" s="691">
        <f>BD37+BF37</f>
        <v>109409574817671.25</v>
      </c>
      <c r="BE38" s="894">
        <f>BE37</f>
        <v>2.5000000000000001E-2</v>
      </c>
      <c r="BF38" s="691">
        <f>BD38*BE38</f>
        <v>2735239370441.7813</v>
      </c>
      <c r="BH38" s="76"/>
      <c r="BI38" s="953">
        <f t="shared" ref="BI38:BI55" si="19">BI37+1</f>
        <v>2031</v>
      </c>
      <c r="BJ38" s="691">
        <f>BJ20</f>
        <v>10737418.24</v>
      </c>
      <c r="BK38" s="987">
        <v>64</v>
      </c>
      <c r="BL38" s="875">
        <f t="shared" si="16"/>
        <v>687194767.36000001</v>
      </c>
      <c r="BM38" s="977"/>
      <c r="BN38" s="977"/>
      <c r="BO38" s="691">
        <f t="shared" si="17"/>
        <v>0</v>
      </c>
      <c r="BQ38" s="691">
        <f t="shared" si="7"/>
        <v>0</v>
      </c>
      <c r="BR38" s="691">
        <f t="shared" ref="BR38:BR55" si="20">BQ38+BR37-BV38</f>
        <v>16475494547.456001</v>
      </c>
      <c r="BS38" s="894">
        <f t="shared" si="14"/>
        <v>0.125</v>
      </c>
      <c r="BT38" s="975">
        <f t="shared" si="11"/>
        <v>2059436818.4320002</v>
      </c>
      <c r="BU38" s="691">
        <f t="shared" si="13"/>
        <v>1342531553.5429084</v>
      </c>
      <c r="BV38" s="183">
        <f t="shared" ref="BV38:BV55" si="21">BL38*BN38</f>
        <v>0</v>
      </c>
      <c r="BW38" s="949">
        <f t="shared" si="10"/>
        <v>2031</v>
      </c>
    </row>
    <row r="39" spans="1:75" x14ac:dyDescent="0.3">
      <c r="A39" s="690"/>
      <c r="B39" s="690"/>
      <c r="C39" s="1151">
        <f>C38*2</f>
        <v>256</v>
      </c>
      <c r="D39" s="411">
        <f t="shared" si="18"/>
        <v>21474836.48</v>
      </c>
      <c r="E39" s="411">
        <f t="shared" si="15"/>
        <v>5497558138.8800001</v>
      </c>
      <c r="F39" s="896"/>
      <c r="G39" s="902" t="s">
        <v>732</v>
      </c>
      <c r="AI39" s="1163" t="s">
        <v>1436</v>
      </c>
      <c r="AM39" s="1155" t="s">
        <v>1279</v>
      </c>
      <c r="AN39" s="1164">
        <v>0</v>
      </c>
      <c r="AO39" s="88"/>
      <c r="AP39" s="88"/>
      <c r="AQ39" s="253"/>
      <c r="AR39" s="88"/>
      <c r="AS39" s="181"/>
      <c r="AV39" s="616"/>
      <c r="AW39" s="617"/>
      <c r="BB39" s="332" t="s">
        <v>989</v>
      </c>
      <c r="BC39" s="953">
        <f>BC38+1</f>
        <v>2032</v>
      </c>
      <c r="BD39" s="691">
        <f>BD38+BF38</f>
        <v>112144814188113.03</v>
      </c>
      <c r="BE39" s="894">
        <f>BE38</f>
        <v>2.5000000000000001E-2</v>
      </c>
      <c r="BF39" s="691">
        <f>BD39*BE39</f>
        <v>2803620354702.8262</v>
      </c>
      <c r="BG39" s="895" t="s">
        <v>1281</v>
      </c>
      <c r="BH39" s="76"/>
      <c r="BI39" s="953">
        <f t="shared" si="19"/>
        <v>2032</v>
      </c>
      <c r="BJ39" s="691">
        <f t="shared" ref="BJ39:BJ55" si="22">BJ29</f>
        <v>10737418.24</v>
      </c>
      <c r="BK39" s="987">
        <v>64</v>
      </c>
      <c r="BL39" s="875">
        <f t="shared" si="16"/>
        <v>687194767.36000001</v>
      </c>
      <c r="BM39" s="977"/>
      <c r="BN39" s="977"/>
      <c r="BO39" s="691">
        <f t="shared" si="17"/>
        <v>0</v>
      </c>
      <c r="BQ39" s="691">
        <f t="shared" si="7"/>
        <v>0</v>
      </c>
      <c r="BR39" s="691">
        <f t="shared" si="20"/>
        <v>16475494547.456001</v>
      </c>
      <c r="BS39" s="894">
        <f t="shared" si="14"/>
        <v>0.125</v>
      </c>
      <c r="BT39" s="975">
        <f t="shared" si="11"/>
        <v>2059436818.4320002</v>
      </c>
      <c r="BU39" s="691">
        <f t="shared" si="13"/>
        <v>1342531553.5429084</v>
      </c>
      <c r="BV39" s="183">
        <f t="shared" si="21"/>
        <v>0</v>
      </c>
      <c r="BW39" s="949">
        <f t="shared" si="10"/>
        <v>2032</v>
      </c>
    </row>
    <row r="40" spans="1:75" x14ac:dyDescent="0.3">
      <c r="A40" s="690"/>
      <c r="B40" s="690"/>
      <c r="C40" s="1152">
        <f t="shared" ref="C40:C43" si="23">C39*2</f>
        <v>512</v>
      </c>
      <c r="D40" s="897">
        <f t="shared" si="18"/>
        <v>21474836.48</v>
      </c>
      <c r="E40" s="897">
        <f t="shared" si="15"/>
        <v>10995116277.76</v>
      </c>
      <c r="F40" s="874"/>
      <c r="G40" s="903" t="s">
        <v>732</v>
      </c>
      <c r="AM40" s="1156" t="s">
        <v>1277</v>
      </c>
      <c r="AN40" s="1164">
        <v>0</v>
      </c>
      <c r="AO40" s="88"/>
      <c r="AP40" s="88"/>
      <c r="AQ40" s="253"/>
      <c r="AR40" s="88"/>
      <c r="AS40" s="181"/>
      <c r="AV40" s="616"/>
      <c r="AW40" s="617"/>
      <c r="BB40" s="332" t="s">
        <v>989</v>
      </c>
      <c r="BC40" s="953">
        <f t="shared" ref="BC40:BC55" si="24">BC39+1</f>
        <v>2033</v>
      </c>
      <c r="BD40" s="691">
        <f t="shared" ref="BD40:BD55" si="25">BD39+BF39</f>
        <v>114948434542815.86</v>
      </c>
      <c r="BE40" s="894">
        <f t="shared" ref="BE40:BE55" si="26">BE39</f>
        <v>2.5000000000000001E-2</v>
      </c>
      <c r="BF40" s="691">
        <f t="shared" ref="BF40:BF55" si="27">BD40*BE40</f>
        <v>2873710863570.3965</v>
      </c>
      <c r="BH40" s="76"/>
      <c r="BI40" s="953">
        <f t="shared" si="19"/>
        <v>2033</v>
      </c>
      <c r="BJ40" s="691">
        <f t="shared" si="22"/>
        <v>10737418.24</v>
      </c>
      <c r="BK40" s="987">
        <v>64</v>
      </c>
      <c r="BL40" s="875">
        <f t="shared" si="16"/>
        <v>687194767.36000001</v>
      </c>
      <c r="BM40" s="969"/>
      <c r="BN40" s="977"/>
      <c r="BO40" s="691">
        <f t="shared" si="17"/>
        <v>0</v>
      </c>
      <c r="BQ40" s="691">
        <f t="shared" si="7"/>
        <v>0</v>
      </c>
      <c r="BR40" s="691">
        <f t="shared" si="20"/>
        <v>16475494547.456001</v>
      </c>
      <c r="BS40" s="894">
        <f t="shared" si="14"/>
        <v>0.125</v>
      </c>
      <c r="BT40" s="975">
        <f t="shared" si="11"/>
        <v>2059436818.4320002</v>
      </c>
      <c r="BU40" s="691">
        <f t="shared" si="13"/>
        <v>1342531553.5429084</v>
      </c>
      <c r="BV40" s="183">
        <f t="shared" si="21"/>
        <v>0</v>
      </c>
      <c r="BW40" s="949">
        <f t="shared" si="10"/>
        <v>2033</v>
      </c>
    </row>
    <row r="41" spans="1:75" x14ac:dyDescent="0.3">
      <c r="A41" s="690"/>
      <c r="B41" s="690"/>
      <c r="C41" s="1121">
        <f t="shared" si="23"/>
        <v>1024</v>
      </c>
      <c r="D41" s="875">
        <f t="shared" si="18"/>
        <v>21474836.48</v>
      </c>
      <c r="E41" s="875">
        <f t="shared" si="15"/>
        <v>21990232555.52</v>
      </c>
      <c r="F41" s="410"/>
      <c r="G41" s="126" t="s">
        <v>732</v>
      </c>
      <c r="AK41" s="173" t="s">
        <v>1433</v>
      </c>
      <c r="AL41" s="1158"/>
      <c r="AM41" s="1159" t="s">
        <v>1285</v>
      </c>
      <c r="AN41" s="719">
        <v>0</v>
      </c>
      <c r="AO41" s="88"/>
      <c r="AP41" s="88"/>
      <c r="AQ41" s="253"/>
      <c r="AR41" s="88"/>
      <c r="AS41" s="181"/>
      <c r="AV41" s="12" t="s">
        <v>979</v>
      </c>
      <c r="BB41" s="332" t="s">
        <v>989</v>
      </c>
      <c r="BC41" s="953">
        <f t="shared" si="24"/>
        <v>2034</v>
      </c>
      <c r="BD41" s="691">
        <f t="shared" si="25"/>
        <v>117822145406386.25</v>
      </c>
      <c r="BE41" s="894">
        <f t="shared" si="26"/>
        <v>2.5000000000000001E-2</v>
      </c>
      <c r="BF41" s="691">
        <f t="shared" si="27"/>
        <v>2945553635159.6563</v>
      </c>
      <c r="BH41" s="76"/>
      <c r="BI41" s="953">
        <f t="shared" si="19"/>
        <v>2034</v>
      </c>
      <c r="BJ41" s="691">
        <f t="shared" si="22"/>
        <v>10737418.24</v>
      </c>
      <c r="BK41" s="987">
        <v>64</v>
      </c>
      <c r="BL41" s="875">
        <f t="shared" si="16"/>
        <v>687194767.36000001</v>
      </c>
      <c r="BM41" s="969"/>
      <c r="BN41" s="977">
        <v>8</v>
      </c>
      <c r="BO41" s="691">
        <f t="shared" si="17"/>
        <v>0</v>
      </c>
      <c r="BQ41" s="691">
        <f t="shared" si="7"/>
        <v>0</v>
      </c>
      <c r="BR41" s="691">
        <f t="shared" si="20"/>
        <v>10977936408.576</v>
      </c>
      <c r="BS41" s="894">
        <f t="shared" si="14"/>
        <v>0.125</v>
      </c>
      <c r="BT41" s="975">
        <f t="shared" si="11"/>
        <v>1372242051.072</v>
      </c>
      <c r="BU41" s="691">
        <f t="shared" si="13"/>
        <v>1342531553.5429084</v>
      </c>
      <c r="BV41" s="183">
        <f t="shared" si="21"/>
        <v>5497558138.8800001</v>
      </c>
      <c r="BW41" s="949">
        <f t="shared" si="10"/>
        <v>2034</v>
      </c>
    </row>
    <row r="42" spans="1:75" x14ac:dyDescent="0.3">
      <c r="A42" s="690"/>
      <c r="B42" s="690"/>
      <c r="C42" s="1153">
        <f t="shared" si="23"/>
        <v>2048</v>
      </c>
      <c r="D42" s="899">
        <f t="shared" si="18"/>
        <v>21474836.48</v>
      </c>
      <c r="E42" s="899">
        <f t="shared" si="15"/>
        <v>43980465111.040001</v>
      </c>
      <c r="F42" s="898"/>
      <c r="G42" s="905" t="s">
        <v>732</v>
      </c>
      <c r="AK42" s="618" t="s">
        <v>1434</v>
      </c>
      <c r="AM42" s="1155" t="s">
        <v>1278</v>
      </c>
      <c r="AN42" s="1164">
        <v>0</v>
      </c>
      <c r="AO42" s="88"/>
      <c r="AP42" s="88"/>
      <c r="AQ42" s="253"/>
      <c r="AR42" s="88"/>
      <c r="AS42" s="181"/>
      <c r="AV42" s="12"/>
      <c r="BB42" s="332" t="s">
        <v>989</v>
      </c>
      <c r="BC42" s="953">
        <f t="shared" si="24"/>
        <v>2035</v>
      </c>
      <c r="BD42" s="691">
        <f t="shared" si="25"/>
        <v>120767699041545.91</v>
      </c>
      <c r="BE42" s="894">
        <f t="shared" si="26"/>
        <v>2.5000000000000001E-2</v>
      </c>
      <c r="BF42" s="691">
        <f t="shared" si="27"/>
        <v>3019192476038.6479</v>
      </c>
      <c r="BH42" s="76"/>
      <c r="BI42" s="953">
        <f t="shared" si="19"/>
        <v>2035</v>
      </c>
      <c r="BJ42" s="691">
        <f t="shared" si="22"/>
        <v>10737418.24</v>
      </c>
      <c r="BK42" s="987">
        <v>64</v>
      </c>
      <c r="BL42" s="875">
        <f t="shared" si="16"/>
        <v>687194767.36000001</v>
      </c>
      <c r="BM42" s="969"/>
      <c r="BN42" s="977"/>
      <c r="BO42" s="691">
        <f t="shared" si="17"/>
        <v>0</v>
      </c>
      <c r="BQ42" s="691">
        <f t="shared" si="7"/>
        <v>0</v>
      </c>
      <c r="BR42" s="691">
        <f t="shared" si="20"/>
        <v>10977936408.576</v>
      </c>
      <c r="BS42" s="894">
        <f t="shared" si="14"/>
        <v>0.125</v>
      </c>
      <c r="BT42" s="975">
        <f t="shared" si="11"/>
        <v>1372242051.072</v>
      </c>
      <c r="BU42" s="691">
        <f t="shared" si="13"/>
        <v>1342531553.5429084</v>
      </c>
      <c r="BV42" s="183">
        <f t="shared" si="21"/>
        <v>0</v>
      </c>
      <c r="BW42" s="949">
        <f t="shared" si="10"/>
        <v>2035</v>
      </c>
    </row>
    <row r="43" spans="1:75" x14ac:dyDescent="0.3">
      <c r="A43" s="690"/>
      <c r="B43" s="690"/>
      <c r="C43" s="1154">
        <f t="shared" si="23"/>
        <v>4096</v>
      </c>
      <c r="D43" s="906">
        <f t="shared" si="18"/>
        <v>21474836.48</v>
      </c>
      <c r="E43" s="906">
        <f t="shared" si="15"/>
        <v>87960930222.080002</v>
      </c>
      <c r="F43" s="907"/>
      <c r="G43" s="908" t="s">
        <v>732</v>
      </c>
      <c r="AM43" s="1155" t="s">
        <v>1161</v>
      </c>
      <c r="AN43" s="1164">
        <v>0</v>
      </c>
      <c r="AO43" s="88"/>
      <c r="AP43" s="1518">
        <f>AN48/AN32</f>
        <v>1297.9416191234166</v>
      </c>
      <c r="AQ43" s="253"/>
      <c r="AR43" s="88"/>
      <c r="AS43" s="181"/>
      <c r="AV43" s="12"/>
      <c r="BB43" s="332" t="s">
        <v>989</v>
      </c>
      <c r="BC43" s="953">
        <f t="shared" si="24"/>
        <v>2036</v>
      </c>
      <c r="BD43" s="691">
        <f t="shared" si="25"/>
        <v>123786891517584.55</v>
      </c>
      <c r="BE43" s="894">
        <f t="shared" si="26"/>
        <v>2.5000000000000001E-2</v>
      </c>
      <c r="BF43" s="691">
        <f t="shared" si="27"/>
        <v>3094672287939.6138</v>
      </c>
      <c r="BH43" s="76"/>
      <c r="BI43" s="953">
        <f t="shared" si="19"/>
        <v>2036</v>
      </c>
      <c r="BJ43" s="691">
        <f t="shared" si="22"/>
        <v>10737418.24</v>
      </c>
      <c r="BK43" s="987">
        <v>64</v>
      </c>
      <c r="BL43" s="875">
        <f t="shared" si="16"/>
        <v>687194767.36000001</v>
      </c>
      <c r="BM43" s="969"/>
      <c r="BN43" s="977"/>
      <c r="BO43" s="691">
        <f t="shared" si="17"/>
        <v>0</v>
      </c>
      <c r="BQ43" s="691">
        <f t="shared" si="7"/>
        <v>0</v>
      </c>
      <c r="BR43" s="691">
        <f t="shared" si="20"/>
        <v>10977936408.576</v>
      </c>
      <c r="BS43" s="894">
        <f t="shared" si="14"/>
        <v>0.125</v>
      </c>
      <c r="BT43" s="975">
        <f t="shared" si="11"/>
        <v>1372242051.072</v>
      </c>
      <c r="BU43" s="691">
        <f t="shared" si="13"/>
        <v>1342531553.5429084</v>
      </c>
      <c r="BV43" s="183">
        <f t="shared" si="21"/>
        <v>0</v>
      </c>
      <c r="BW43" s="949">
        <f t="shared" si="10"/>
        <v>2036</v>
      </c>
    </row>
    <row r="44" spans="1:75" x14ac:dyDescent="0.3">
      <c r="A44" s="690"/>
      <c r="B44" s="690"/>
      <c r="AK44" s="1162" t="s">
        <v>1433</v>
      </c>
      <c r="AL44" s="1160"/>
      <c r="AM44" s="1161" t="s">
        <v>1249</v>
      </c>
      <c r="AN44" s="1164">
        <v>0</v>
      </c>
      <c r="AO44" s="88"/>
      <c r="AP44" s="88"/>
      <c r="AQ44" s="253"/>
      <c r="AR44" s="88"/>
      <c r="AS44" s="181"/>
      <c r="AV44" s="12"/>
      <c r="BB44" s="332" t="s">
        <v>989</v>
      </c>
      <c r="BC44" s="953">
        <f t="shared" si="24"/>
        <v>2037</v>
      </c>
      <c r="BD44" s="691">
        <f t="shared" si="25"/>
        <v>126881563805524.16</v>
      </c>
      <c r="BE44" s="894">
        <f t="shared" si="26"/>
        <v>2.5000000000000001E-2</v>
      </c>
      <c r="BF44" s="691">
        <f t="shared" si="27"/>
        <v>3172039095138.104</v>
      </c>
      <c r="BH44" s="76"/>
      <c r="BI44" s="953">
        <f t="shared" si="19"/>
        <v>2037</v>
      </c>
      <c r="BJ44" s="691">
        <f t="shared" si="22"/>
        <v>10737418.24</v>
      </c>
      <c r="BK44" s="987">
        <v>64</v>
      </c>
      <c r="BL44" s="875">
        <f t="shared" si="16"/>
        <v>687194767.36000001</v>
      </c>
      <c r="BM44" s="969"/>
      <c r="BN44" s="977"/>
      <c r="BO44" s="691">
        <f t="shared" si="17"/>
        <v>0</v>
      </c>
      <c r="BQ44" s="691">
        <f t="shared" si="7"/>
        <v>0</v>
      </c>
      <c r="BR44" s="691">
        <f t="shared" si="20"/>
        <v>10977936408.576</v>
      </c>
      <c r="BS44" s="894">
        <f t="shared" si="14"/>
        <v>0.125</v>
      </c>
      <c r="BT44" s="975">
        <f t="shared" si="11"/>
        <v>1372242051.072</v>
      </c>
      <c r="BU44" s="691">
        <f t="shared" si="13"/>
        <v>1342531553.5429084</v>
      </c>
      <c r="BV44" s="183">
        <f t="shared" si="21"/>
        <v>0</v>
      </c>
      <c r="BW44" s="949">
        <f t="shared" si="10"/>
        <v>2037</v>
      </c>
    </row>
    <row r="45" spans="1:75" x14ac:dyDescent="0.3">
      <c r="A45" s="690"/>
      <c r="B45" s="690"/>
      <c r="AK45" s="1163" t="s">
        <v>1437</v>
      </c>
      <c r="AM45" s="1157" t="s">
        <v>148</v>
      </c>
      <c r="AN45" s="1164">
        <v>0</v>
      </c>
      <c r="AO45" s="88"/>
      <c r="AP45" s="88"/>
      <c r="AQ45" s="253"/>
      <c r="AR45" s="88"/>
      <c r="AS45" s="181"/>
      <c r="AV45" s="12"/>
      <c r="BB45" s="332" t="s">
        <v>989</v>
      </c>
      <c r="BC45" s="953">
        <f t="shared" si="24"/>
        <v>2038</v>
      </c>
      <c r="BD45" s="691">
        <f t="shared" si="25"/>
        <v>130053602900662.27</v>
      </c>
      <c r="BE45" s="894">
        <f t="shared" si="26"/>
        <v>2.5000000000000001E-2</v>
      </c>
      <c r="BF45" s="691">
        <f t="shared" si="27"/>
        <v>3251340072516.5566</v>
      </c>
      <c r="BH45" s="76"/>
      <c r="BI45" s="953">
        <f t="shared" si="19"/>
        <v>2038</v>
      </c>
      <c r="BJ45" s="691">
        <f t="shared" si="22"/>
        <v>10737418.24</v>
      </c>
      <c r="BK45" s="987">
        <v>64</v>
      </c>
      <c r="BL45" s="875">
        <f t="shared" si="16"/>
        <v>687194767.36000001</v>
      </c>
      <c r="BM45" s="969"/>
      <c r="BN45" s="977">
        <v>8</v>
      </c>
      <c r="BO45" s="691">
        <f t="shared" si="17"/>
        <v>0</v>
      </c>
      <c r="BQ45" s="691">
        <f t="shared" si="7"/>
        <v>0</v>
      </c>
      <c r="BR45" s="691">
        <f t="shared" si="20"/>
        <v>5480378269.6960001</v>
      </c>
      <c r="BS45" s="894">
        <f t="shared" si="14"/>
        <v>0.125</v>
      </c>
      <c r="BT45" s="975">
        <f t="shared" si="11"/>
        <v>685047283.71200001</v>
      </c>
      <c r="BU45" s="691">
        <f t="shared" si="13"/>
        <v>1342531553.5429084</v>
      </c>
      <c r="BV45" s="183">
        <f t="shared" si="21"/>
        <v>5497558138.8800001</v>
      </c>
      <c r="BW45" s="949">
        <f t="shared" si="10"/>
        <v>2038</v>
      </c>
    </row>
    <row r="46" spans="1:75" x14ac:dyDescent="0.3">
      <c r="A46" s="690"/>
      <c r="B46" s="690"/>
      <c r="AM46" s="1150" t="s">
        <v>948</v>
      </c>
      <c r="AN46" s="645">
        <v>0</v>
      </c>
      <c r="AO46" s="88"/>
      <c r="AP46" s="88"/>
      <c r="AQ46" s="253"/>
      <c r="AR46" s="88"/>
      <c r="AS46" s="181" t="s">
        <v>805</v>
      </c>
      <c r="AT46" s="1" t="s">
        <v>998</v>
      </c>
      <c r="AV46" s="19">
        <v>0.01</v>
      </c>
      <c r="BB46" s="332" t="s">
        <v>989</v>
      </c>
      <c r="BC46" s="953">
        <f t="shared" si="24"/>
        <v>2039</v>
      </c>
      <c r="BD46" s="691">
        <f t="shared" si="25"/>
        <v>133304942973178.83</v>
      </c>
      <c r="BE46" s="894">
        <f t="shared" si="26"/>
        <v>2.5000000000000001E-2</v>
      </c>
      <c r="BF46" s="691">
        <f t="shared" si="27"/>
        <v>3332623574329.4707</v>
      </c>
      <c r="BH46" s="76"/>
      <c r="BI46" s="953">
        <f t="shared" si="19"/>
        <v>2039</v>
      </c>
      <c r="BJ46" s="691">
        <f t="shared" si="22"/>
        <v>10737418.24</v>
      </c>
      <c r="BK46" s="987">
        <v>64</v>
      </c>
      <c r="BL46" s="875">
        <f t="shared" si="16"/>
        <v>687194767.36000001</v>
      </c>
      <c r="BM46" s="969"/>
      <c r="BN46" s="977"/>
      <c r="BO46" s="691">
        <f t="shared" si="17"/>
        <v>0</v>
      </c>
      <c r="BQ46" s="691">
        <f t="shared" si="7"/>
        <v>0</v>
      </c>
      <c r="BR46" s="691">
        <f t="shared" si="20"/>
        <v>5480378269.6960001</v>
      </c>
      <c r="BS46" s="894">
        <f t="shared" si="14"/>
        <v>0.125</v>
      </c>
      <c r="BT46" s="975">
        <f t="shared" si="11"/>
        <v>685047283.71200001</v>
      </c>
      <c r="BU46" s="691">
        <f t="shared" si="13"/>
        <v>1342531553.5429084</v>
      </c>
      <c r="BV46" s="183">
        <f t="shared" si="21"/>
        <v>0</v>
      </c>
      <c r="BW46" s="949">
        <f t="shared" si="10"/>
        <v>2039</v>
      </c>
    </row>
    <row r="47" spans="1:75" x14ac:dyDescent="0.3">
      <c r="K47" s="690"/>
      <c r="AM47" s="122" t="s">
        <v>1385</v>
      </c>
      <c r="AN47" s="183">
        <f>SUM(AN35:AN46)</f>
        <v>5497558138.8800001</v>
      </c>
      <c r="AO47" s="251"/>
      <c r="AP47" s="76" t="s">
        <v>805</v>
      </c>
      <c r="AQ47" s="691">
        <f>AE82</f>
        <v>6630548568.2489748</v>
      </c>
      <c r="AR47" s="76"/>
      <c r="AS47" s="691">
        <f>AQ47</f>
        <v>6630548568.2489748</v>
      </c>
      <c r="AT47" s="691">
        <f>BD31</f>
        <v>92042471679365.094</v>
      </c>
      <c r="AU47" s="76"/>
      <c r="AV47" s="736">
        <f>AT47*AV46</f>
        <v>920424716793.651</v>
      </c>
      <c r="AW47" s="76"/>
      <c r="AX47" s="208">
        <f>AV47/AS60</f>
        <v>36.710942278145986</v>
      </c>
      <c r="AY47" s="76"/>
      <c r="AZ47" s="76"/>
      <c r="BA47" s="76"/>
      <c r="BB47" s="332" t="s">
        <v>989</v>
      </c>
      <c r="BC47" s="953">
        <f t="shared" si="24"/>
        <v>2040</v>
      </c>
      <c r="BD47" s="691">
        <f t="shared" si="25"/>
        <v>136637566547508.3</v>
      </c>
      <c r="BE47" s="894">
        <f t="shared" si="26"/>
        <v>2.5000000000000001E-2</v>
      </c>
      <c r="BF47" s="691">
        <f t="shared" si="27"/>
        <v>3415939163687.7075</v>
      </c>
      <c r="BH47" s="76"/>
      <c r="BI47" s="953">
        <f t="shared" si="19"/>
        <v>2040</v>
      </c>
      <c r="BJ47" s="691">
        <f t="shared" si="22"/>
        <v>10737418.24</v>
      </c>
      <c r="BK47" s="987">
        <v>64</v>
      </c>
      <c r="BL47" s="875">
        <f t="shared" si="16"/>
        <v>687194767.36000001</v>
      </c>
      <c r="BM47" s="969"/>
      <c r="BN47" s="977"/>
      <c r="BO47" s="691">
        <f t="shared" si="17"/>
        <v>0</v>
      </c>
      <c r="BQ47" s="691">
        <f t="shared" si="7"/>
        <v>0</v>
      </c>
      <c r="BR47" s="691">
        <f t="shared" si="20"/>
        <v>5480378269.6960001</v>
      </c>
      <c r="BS47" s="894">
        <f t="shared" si="14"/>
        <v>0.125</v>
      </c>
      <c r="BT47" s="975">
        <f t="shared" si="11"/>
        <v>685047283.71200001</v>
      </c>
      <c r="BU47" s="691">
        <f t="shared" si="13"/>
        <v>1342531553.5429084</v>
      </c>
      <c r="BV47" s="183">
        <f t="shared" si="21"/>
        <v>0</v>
      </c>
      <c r="BW47" s="949">
        <f t="shared" si="10"/>
        <v>2040</v>
      </c>
    </row>
    <row r="48" spans="1:75" ht="16.2" thickBot="1" x14ac:dyDescent="0.35">
      <c r="AM48" s="1150" t="s">
        <v>309</v>
      </c>
      <c r="AN48" s="182">
        <f>AN47*AN34</f>
        <v>27873084031.26181</v>
      </c>
      <c r="AR48" s="565" t="s">
        <v>894</v>
      </c>
      <c r="AS48" s="208">
        <f>AS32/AS47</f>
        <v>2.7813186794096452</v>
      </c>
      <c r="AT48" s="367"/>
      <c r="AV48" s="192">
        <f>AS60</f>
        <v>25072217155.852726</v>
      </c>
      <c r="AW48" s="193"/>
      <c r="AX48" s="1" t="s">
        <v>1339</v>
      </c>
      <c r="BB48" s="332" t="s">
        <v>989</v>
      </c>
      <c r="BC48" s="953">
        <f t="shared" si="24"/>
        <v>2041</v>
      </c>
      <c r="BD48" s="691">
        <f t="shared" si="25"/>
        <v>140053505711196</v>
      </c>
      <c r="BE48" s="894">
        <f t="shared" si="26"/>
        <v>2.5000000000000001E-2</v>
      </c>
      <c r="BF48" s="691">
        <f t="shared" si="27"/>
        <v>3501337642779.9004</v>
      </c>
      <c r="BH48" s="76"/>
      <c r="BI48" s="953">
        <f t="shared" si="19"/>
        <v>2041</v>
      </c>
      <c r="BJ48" s="691">
        <f t="shared" si="22"/>
        <v>10737418.24</v>
      </c>
      <c r="BK48" s="987">
        <v>64</v>
      </c>
      <c r="BL48" s="875">
        <f t="shared" si="16"/>
        <v>687194767.36000001</v>
      </c>
      <c r="BM48" s="969"/>
      <c r="BN48" s="977"/>
      <c r="BO48" s="691">
        <f t="shared" si="17"/>
        <v>0</v>
      </c>
      <c r="BQ48" s="691">
        <f t="shared" si="7"/>
        <v>0</v>
      </c>
      <c r="BR48" s="691">
        <f t="shared" si="20"/>
        <v>5480378269.6960001</v>
      </c>
      <c r="BS48" s="894">
        <f t="shared" si="14"/>
        <v>0.125</v>
      </c>
      <c r="BT48" s="975">
        <f t="shared" si="11"/>
        <v>685047283.71200001</v>
      </c>
      <c r="BU48" s="691">
        <f t="shared" si="13"/>
        <v>1342531553.5429084</v>
      </c>
      <c r="BV48" s="183">
        <f t="shared" si="21"/>
        <v>0</v>
      </c>
      <c r="BW48" s="949">
        <f t="shared" si="10"/>
        <v>2041</v>
      </c>
    </row>
    <row r="49" spans="3:75" ht="16.2" thickBot="1" x14ac:dyDescent="0.35">
      <c r="C49" s="1" t="s">
        <v>801</v>
      </c>
      <c r="AM49" s="1150" t="s">
        <v>308</v>
      </c>
      <c r="AN49" s="182">
        <f>AN48*AO49</f>
        <v>18441668587.603752</v>
      </c>
      <c r="AO49" s="1268">
        <v>0.66163000000000005</v>
      </c>
      <c r="AP49" s="1" t="s">
        <v>1496</v>
      </c>
      <c r="AR49" s="565" t="s">
        <v>888</v>
      </c>
      <c r="AS49" s="953">
        <v>8</v>
      </c>
      <c r="AT49" s="1" t="s">
        <v>889</v>
      </c>
      <c r="AX49" s="1" t="s">
        <v>1340</v>
      </c>
      <c r="BB49" s="332" t="s">
        <v>989</v>
      </c>
      <c r="BC49" s="953">
        <f t="shared" si="24"/>
        <v>2042</v>
      </c>
      <c r="BD49" s="691">
        <f t="shared" si="25"/>
        <v>143554843353975.91</v>
      </c>
      <c r="BE49" s="894">
        <f t="shared" si="26"/>
        <v>2.5000000000000001E-2</v>
      </c>
      <c r="BF49" s="691">
        <f t="shared" si="27"/>
        <v>3588871083849.3979</v>
      </c>
      <c r="BH49" s="76"/>
      <c r="BI49" s="953">
        <f t="shared" si="19"/>
        <v>2042</v>
      </c>
      <c r="BJ49" s="691">
        <f t="shared" si="22"/>
        <v>10737418.24</v>
      </c>
      <c r="BK49" s="987">
        <v>64</v>
      </c>
      <c r="BL49" s="875">
        <f t="shared" si="16"/>
        <v>687194767.36000001</v>
      </c>
      <c r="BM49" s="969"/>
      <c r="BN49" s="977">
        <v>8</v>
      </c>
      <c r="BO49" s="691">
        <f t="shared" si="17"/>
        <v>0</v>
      </c>
      <c r="BQ49" s="691">
        <f t="shared" si="7"/>
        <v>0</v>
      </c>
      <c r="BR49" s="691">
        <f t="shared" si="20"/>
        <v>-17179869.184000015</v>
      </c>
      <c r="BS49" s="894">
        <f t="shared" si="14"/>
        <v>0.125</v>
      </c>
      <c r="BT49" s="975">
        <f t="shared" si="11"/>
        <v>-2147483.6480000019</v>
      </c>
      <c r="BU49" s="691">
        <f t="shared" si="13"/>
        <v>1342531553.5429084</v>
      </c>
      <c r="BV49" s="183">
        <f t="shared" si="21"/>
        <v>5497558138.8800001</v>
      </c>
      <c r="BW49" s="949">
        <f t="shared" si="10"/>
        <v>2042</v>
      </c>
    </row>
    <row r="50" spans="3:75" x14ac:dyDescent="0.3">
      <c r="C50" s="13"/>
      <c r="D50" s="4"/>
      <c r="E50" s="120" t="s">
        <v>275</v>
      </c>
      <c r="F50" s="4"/>
      <c r="G50" s="173" t="s">
        <v>288</v>
      </c>
      <c r="H50" s="462" t="s">
        <v>1367</v>
      </c>
      <c r="I50" s="170" t="s">
        <v>1373</v>
      </c>
      <c r="J50" s="175" t="s">
        <v>297</v>
      </c>
      <c r="K50" s="170" t="s">
        <v>802</v>
      </c>
      <c r="AN50" s="239"/>
      <c r="AP50" s="1" t="s">
        <v>1276</v>
      </c>
      <c r="AR50" s="565" t="s">
        <v>890</v>
      </c>
      <c r="AS50" s="208">
        <f>AS48/AS49</f>
        <v>0.34766483492620565</v>
      </c>
      <c r="BB50" s="332" t="s">
        <v>989</v>
      </c>
      <c r="BC50" s="953">
        <f t="shared" si="24"/>
        <v>2043</v>
      </c>
      <c r="BD50" s="691">
        <f t="shared" si="25"/>
        <v>147143714437825.31</v>
      </c>
      <c r="BE50" s="894">
        <f t="shared" si="26"/>
        <v>2.5000000000000001E-2</v>
      </c>
      <c r="BF50" s="691">
        <f t="shared" si="27"/>
        <v>3678592860945.6328</v>
      </c>
      <c r="BH50" s="76"/>
      <c r="BI50" s="953">
        <f t="shared" si="19"/>
        <v>2043</v>
      </c>
      <c r="BJ50" s="691">
        <f t="shared" si="22"/>
        <v>10737418.24</v>
      </c>
      <c r="BK50" s="987">
        <v>64</v>
      </c>
      <c r="BL50" s="875">
        <f t="shared" si="16"/>
        <v>687194767.36000001</v>
      </c>
      <c r="BM50" s="969"/>
      <c r="BN50" s="977"/>
      <c r="BO50" s="691">
        <f t="shared" si="17"/>
        <v>0</v>
      </c>
      <c r="BQ50" s="691">
        <f t="shared" si="7"/>
        <v>0</v>
      </c>
      <c r="BR50" s="691">
        <f t="shared" si="20"/>
        <v>-17179869.184000015</v>
      </c>
      <c r="BS50" s="894">
        <f t="shared" si="14"/>
        <v>0.125</v>
      </c>
      <c r="BT50" s="975">
        <f t="shared" si="11"/>
        <v>-2147483.6480000019</v>
      </c>
      <c r="BU50" s="691">
        <f t="shared" si="13"/>
        <v>1342531553.5429084</v>
      </c>
      <c r="BV50" s="183">
        <f t="shared" si="21"/>
        <v>0</v>
      </c>
      <c r="BW50" s="949">
        <f t="shared" si="10"/>
        <v>2043</v>
      </c>
    </row>
    <row r="51" spans="3:75" x14ac:dyDescent="0.3">
      <c r="C51" s="122"/>
      <c r="D51" s="7"/>
      <c r="E51" s="875">
        <f>E8</f>
        <v>21474836.48</v>
      </c>
      <c r="F51" s="7"/>
      <c r="G51" s="468" t="s">
        <v>1386</v>
      </c>
      <c r="H51" s="469"/>
      <c r="I51" s="470"/>
      <c r="J51" s="471"/>
      <c r="K51" s="470"/>
      <c r="AN51" s="277" t="s">
        <v>748</v>
      </c>
      <c r="AR51" s="239"/>
      <c r="AS51" s="76"/>
      <c r="BB51" s="332" t="s">
        <v>989</v>
      </c>
      <c r="BC51" s="953">
        <f t="shared" si="24"/>
        <v>2044</v>
      </c>
      <c r="BD51" s="691">
        <f t="shared" si="25"/>
        <v>150822307298770.94</v>
      </c>
      <c r="BE51" s="894">
        <f t="shared" si="26"/>
        <v>2.5000000000000001E-2</v>
      </c>
      <c r="BF51" s="691">
        <f t="shared" si="27"/>
        <v>3770557682469.2734</v>
      </c>
      <c r="BH51" s="76"/>
      <c r="BI51" s="953">
        <f t="shared" si="19"/>
        <v>2044</v>
      </c>
      <c r="BJ51" s="691">
        <f t="shared" si="22"/>
        <v>10737418.24</v>
      </c>
      <c r="BK51" s="987">
        <v>64</v>
      </c>
      <c r="BL51" s="875">
        <f t="shared" si="16"/>
        <v>687194767.36000001</v>
      </c>
      <c r="BM51" s="969"/>
      <c r="BN51" s="977"/>
      <c r="BO51" s="691">
        <f t="shared" si="17"/>
        <v>0</v>
      </c>
      <c r="BQ51" s="691">
        <f t="shared" si="7"/>
        <v>0</v>
      </c>
      <c r="BR51" s="691">
        <f t="shared" si="20"/>
        <v>-17179869.184000015</v>
      </c>
      <c r="BS51" s="894">
        <f t="shared" si="14"/>
        <v>0.125</v>
      </c>
      <c r="BT51" s="975">
        <f t="shared" si="11"/>
        <v>-2147483.6480000019</v>
      </c>
      <c r="BU51" s="691">
        <f t="shared" si="13"/>
        <v>1342531553.5429084</v>
      </c>
      <c r="BV51" s="183">
        <f t="shared" si="21"/>
        <v>0</v>
      </c>
      <c r="BW51" s="949">
        <f t="shared" si="10"/>
        <v>2044</v>
      </c>
    </row>
    <row r="52" spans="3:75" ht="16.2" thickBot="1" x14ac:dyDescent="0.35">
      <c r="C52" s="122"/>
      <c r="D52" s="7"/>
      <c r="E52" s="7"/>
      <c r="F52" s="127"/>
      <c r="G52" s="127" t="s">
        <v>280</v>
      </c>
      <c r="H52" s="7"/>
      <c r="I52" s="459" t="s">
        <v>282</v>
      </c>
      <c r="J52" s="122"/>
      <c r="K52" s="8"/>
      <c r="AN52" s="1252" t="s">
        <v>1491</v>
      </c>
      <c r="AO52" s="4"/>
      <c r="AP52" s="1255" t="s">
        <v>746</v>
      </c>
      <c r="AQ52" s="5"/>
      <c r="AR52" s="565" t="s">
        <v>891</v>
      </c>
      <c r="AS52" s="76"/>
      <c r="BB52" s="332" t="s">
        <v>989</v>
      </c>
      <c r="BC52" s="953">
        <f t="shared" si="24"/>
        <v>2045</v>
      </c>
      <c r="BD52" s="691">
        <f t="shared" si="25"/>
        <v>154592864981240.22</v>
      </c>
      <c r="BE52" s="894">
        <f t="shared" si="26"/>
        <v>2.5000000000000001E-2</v>
      </c>
      <c r="BF52" s="691">
        <f t="shared" si="27"/>
        <v>3864821624531.0059</v>
      </c>
      <c r="BH52" s="76"/>
      <c r="BI52" s="953">
        <f t="shared" si="19"/>
        <v>2045</v>
      </c>
      <c r="BJ52" s="691">
        <f t="shared" si="22"/>
        <v>10737418.24</v>
      </c>
      <c r="BK52" s="987">
        <v>64</v>
      </c>
      <c r="BL52" s="875">
        <f t="shared" si="16"/>
        <v>687194767.36000001</v>
      </c>
      <c r="BM52" s="969"/>
      <c r="BN52" s="977"/>
      <c r="BO52" s="691">
        <f t="shared" si="17"/>
        <v>0</v>
      </c>
      <c r="BQ52" s="691">
        <f t="shared" si="7"/>
        <v>0</v>
      </c>
      <c r="BR52" s="691">
        <f t="shared" si="20"/>
        <v>-17179869.184000015</v>
      </c>
      <c r="BS52" s="894">
        <f t="shared" si="14"/>
        <v>0.125</v>
      </c>
      <c r="BT52" s="975">
        <f t="shared" si="11"/>
        <v>-2147483.6480000019</v>
      </c>
      <c r="BU52" s="691">
        <f t="shared" si="13"/>
        <v>1342531553.5429084</v>
      </c>
      <c r="BV52" s="183">
        <f t="shared" si="21"/>
        <v>0</v>
      </c>
      <c r="BW52" s="949">
        <f t="shared" si="10"/>
        <v>2045</v>
      </c>
    </row>
    <row r="53" spans="3:75" ht="16.2" thickBot="1" x14ac:dyDescent="0.35">
      <c r="C53" s="122"/>
      <c r="D53" s="7"/>
      <c r="E53" s="7"/>
      <c r="F53" s="129">
        <v>0.25</v>
      </c>
      <c r="G53" s="130">
        <f>E57*F53</f>
        <v>503316.47999999998</v>
      </c>
      <c r="H53" s="460">
        <v>0.5</v>
      </c>
      <c r="I53" s="130">
        <f>G53*H53</f>
        <v>251658.23999999999</v>
      </c>
      <c r="J53" s="460">
        <v>0.05</v>
      </c>
      <c r="K53" s="458">
        <f>I53*J53</f>
        <v>12582.912</v>
      </c>
      <c r="AL53" s="933">
        <f>AO53</f>
        <v>256</v>
      </c>
      <c r="AM53" s="927" t="s">
        <v>745</v>
      </c>
      <c r="AN53" s="1256">
        <f>AP53*AO53</f>
        <v>5497558138.8800001</v>
      </c>
      <c r="AO53" s="934">
        <v>256</v>
      </c>
      <c r="AP53" s="1253">
        <f>'POP Dimensions'!J15</f>
        <v>21474836.48</v>
      </c>
      <c r="AQ53" s="1254"/>
      <c r="AR53" s="565" t="s">
        <v>901</v>
      </c>
      <c r="AS53" s="484">
        <v>0.17</v>
      </c>
      <c r="AT53" s="1" t="s">
        <v>895</v>
      </c>
      <c r="BB53" s="332" t="s">
        <v>989</v>
      </c>
      <c r="BC53" s="953">
        <f t="shared" si="24"/>
        <v>2046</v>
      </c>
      <c r="BD53" s="691">
        <f t="shared" si="25"/>
        <v>158457686605771.22</v>
      </c>
      <c r="BE53" s="894">
        <f t="shared" si="26"/>
        <v>2.5000000000000001E-2</v>
      </c>
      <c r="BF53" s="691">
        <f t="shared" si="27"/>
        <v>3961442165144.2808</v>
      </c>
      <c r="BH53" s="76"/>
      <c r="BI53" s="953">
        <f t="shared" si="19"/>
        <v>2046</v>
      </c>
      <c r="BJ53" s="691">
        <f t="shared" si="22"/>
        <v>10737418.24</v>
      </c>
      <c r="BK53" s="987">
        <v>64</v>
      </c>
      <c r="BL53" s="875">
        <f t="shared" si="16"/>
        <v>687194767.36000001</v>
      </c>
      <c r="BM53" s="969"/>
      <c r="BN53" s="977"/>
      <c r="BO53" s="691">
        <f t="shared" si="17"/>
        <v>0</v>
      </c>
      <c r="BQ53" s="691">
        <f t="shared" si="7"/>
        <v>0</v>
      </c>
      <c r="BR53" s="691">
        <f t="shared" si="20"/>
        <v>-17179869.184000015</v>
      </c>
      <c r="BS53" s="894">
        <f t="shared" si="14"/>
        <v>0.125</v>
      </c>
      <c r="BT53" s="975">
        <f t="shared" si="11"/>
        <v>-2147483.6480000019</v>
      </c>
      <c r="BU53" s="691">
        <f t="shared" si="13"/>
        <v>1342531553.5429084</v>
      </c>
      <c r="BV53" s="183">
        <f t="shared" si="21"/>
        <v>0</v>
      </c>
      <c r="BW53" s="949">
        <f t="shared" si="10"/>
        <v>2046</v>
      </c>
    </row>
    <row r="54" spans="3:75" ht="16.2" thickBot="1" x14ac:dyDescent="0.35">
      <c r="C54" s="122"/>
      <c r="D54" s="7"/>
      <c r="E54" s="7"/>
      <c r="F54" s="133"/>
      <c r="G54" s="134" t="s">
        <v>290</v>
      </c>
      <c r="H54" s="7"/>
      <c r="I54" s="457" t="s">
        <v>283</v>
      </c>
      <c r="J54" s="122"/>
      <c r="K54" s="8"/>
      <c r="AL54" s="927"/>
      <c r="AN54" s="1257" t="s">
        <v>1355</v>
      </c>
      <c r="AO54" s="1258"/>
      <c r="AP54" s="255" t="s">
        <v>1290</v>
      </c>
      <c r="AQ54" s="8"/>
      <c r="AR54" s="566"/>
      <c r="AS54" s="76"/>
      <c r="BB54" s="332" t="s">
        <v>989</v>
      </c>
      <c r="BC54" s="953">
        <f t="shared" si="24"/>
        <v>2047</v>
      </c>
      <c r="BD54" s="691">
        <f t="shared" si="25"/>
        <v>162419128770915.5</v>
      </c>
      <c r="BE54" s="894">
        <f t="shared" si="26"/>
        <v>2.5000000000000001E-2</v>
      </c>
      <c r="BF54" s="691">
        <f t="shared" si="27"/>
        <v>4060478219272.8877</v>
      </c>
      <c r="BH54" s="76"/>
      <c r="BI54" s="953">
        <f t="shared" si="19"/>
        <v>2047</v>
      </c>
      <c r="BJ54" s="691">
        <f t="shared" si="22"/>
        <v>10737418.24</v>
      </c>
      <c r="BK54" s="987">
        <v>64</v>
      </c>
      <c r="BL54" s="875">
        <f t="shared" si="16"/>
        <v>687194767.36000001</v>
      </c>
      <c r="BM54" s="969"/>
      <c r="BN54" s="977"/>
      <c r="BO54" s="691">
        <f t="shared" si="17"/>
        <v>0</v>
      </c>
      <c r="BQ54" s="691">
        <f t="shared" si="7"/>
        <v>0</v>
      </c>
      <c r="BR54" s="691">
        <f t="shared" si="20"/>
        <v>-17179869.184000015</v>
      </c>
      <c r="BS54" s="894">
        <f t="shared" si="14"/>
        <v>0.125</v>
      </c>
      <c r="BT54" s="975">
        <f t="shared" si="11"/>
        <v>-2147483.6480000019</v>
      </c>
      <c r="BU54" s="691">
        <f t="shared" si="13"/>
        <v>1342531553.5429084</v>
      </c>
      <c r="BV54" s="183">
        <f t="shared" si="21"/>
        <v>0</v>
      </c>
      <c r="BW54" s="949">
        <f t="shared" si="10"/>
        <v>2047</v>
      </c>
    </row>
    <row r="55" spans="3:75" ht="16.2" thickBot="1" x14ac:dyDescent="0.35">
      <c r="C55" s="122"/>
      <c r="D55" s="7"/>
      <c r="E55" s="7"/>
      <c r="F55" s="133">
        <v>0.25</v>
      </c>
      <c r="G55" s="135">
        <f>E57*F55</f>
        <v>503316.47999999998</v>
      </c>
      <c r="H55" s="461">
        <v>0.9</v>
      </c>
      <c r="I55" s="135">
        <f>G55*H55</f>
        <v>452984.83199999999</v>
      </c>
      <c r="J55" s="461">
        <v>0.05</v>
      </c>
      <c r="K55" s="440">
        <f>I55*J55</f>
        <v>22649.241600000001</v>
      </c>
      <c r="AL55" s="239"/>
      <c r="AN55" s="1002" t="s">
        <v>867</v>
      </c>
      <c r="AO55" s="1258"/>
      <c r="AP55" s="255"/>
      <c r="AQ55" s="8"/>
      <c r="AR55" s="239"/>
      <c r="AS55" s="484">
        <v>0.17</v>
      </c>
      <c r="AT55" s="32">
        <f>AS55</f>
        <v>0.17</v>
      </c>
      <c r="BB55" s="332" t="s">
        <v>989</v>
      </c>
      <c r="BC55" s="953">
        <f t="shared" si="24"/>
        <v>2048</v>
      </c>
      <c r="BD55" s="691">
        <f t="shared" si="25"/>
        <v>166479606990188.38</v>
      </c>
      <c r="BE55" s="894">
        <f t="shared" si="26"/>
        <v>2.5000000000000001E-2</v>
      </c>
      <c r="BF55" s="691">
        <f t="shared" si="27"/>
        <v>4161990174754.7095</v>
      </c>
      <c r="BG55" s="895" t="s">
        <v>1280</v>
      </c>
      <c r="BH55" s="76"/>
      <c r="BI55" s="953">
        <f t="shared" si="19"/>
        <v>2048</v>
      </c>
      <c r="BJ55" s="691">
        <f t="shared" si="22"/>
        <v>10737418.24</v>
      </c>
      <c r="BK55" s="987">
        <v>64</v>
      </c>
      <c r="BL55" s="875">
        <f t="shared" si="16"/>
        <v>687194767.36000001</v>
      </c>
      <c r="BM55" s="969"/>
      <c r="BN55" s="977"/>
      <c r="BO55" s="691">
        <f t="shared" si="17"/>
        <v>0</v>
      </c>
      <c r="BQ55" s="691">
        <f t="shared" si="7"/>
        <v>0</v>
      </c>
      <c r="BR55" s="691">
        <f t="shared" si="20"/>
        <v>-17179869.184000015</v>
      </c>
      <c r="BS55" s="894">
        <f t="shared" si="14"/>
        <v>0.125</v>
      </c>
      <c r="BT55" s="975">
        <f t="shared" si="11"/>
        <v>-2147483.6480000019</v>
      </c>
      <c r="BU55" s="691">
        <f t="shared" si="13"/>
        <v>1342531553.5429084</v>
      </c>
      <c r="BV55" s="183">
        <f t="shared" si="21"/>
        <v>0</v>
      </c>
      <c r="BW55" s="949">
        <f t="shared" si="10"/>
        <v>2048</v>
      </c>
    </row>
    <row r="56" spans="3:75" ht="18.600000000000001" thickBot="1" x14ac:dyDescent="0.4">
      <c r="C56" s="122"/>
      <c r="D56" s="7"/>
      <c r="E56" s="7"/>
      <c r="F56" s="136"/>
      <c r="G56" s="136" t="s">
        <v>279</v>
      </c>
      <c r="H56" s="7"/>
      <c r="I56" s="451" t="s">
        <v>284</v>
      </c>
      <c r="J56" s="122"/>
      <c r="K56" s="8"/>
      <c r="S56" s="88"/>
      <c r="AL56" s="239"/>
      <c r="AN56" s="719">
        <f>AN48-AN53</f>
        <v>22375525892.381809</v>
      </c>
      <c r="AO56" s="255"/>
      <c r="AP56" s="255"/>
      <c r="AQ56" s="1259"/>
      <c r="AR56" s="239" t="s">
        <v>892</v>
      </c>
      <c r="AS56" s="615">
        <f>AT58</f>
        <v>2.0450872642717979</v>
      </c>
      <c r="AT56" s="569" t="s">
        <v>980</v>
      </c>
      <c r="AU56" s="569"/>
      <c r="AV56" s="181"/>
      <c r="AW56" s="181"/>
      <c r="AX56" s="252"/>
      <c r="AY56" s="252"/>
      <c r="AZ56" s="252"/>
      <c r="BA56" s="252"/>
      <c r="BG56" s="1"/>
      <c r="BM56" s="979">
        <f>SUM(BM22:BM55)</f>
        <v>23.975000000000001</v>
      </c>
      <c r="BN56" s="979">
        <f>SUM(BN22:BN55)</f>
        <v>24</v>
      </c>
    </row>
    <row r="57" spans="3:75" ht="16.8" thickTop="1" thickBot="1" x14ac:dyDescent="0.35">
      <c r="C57" s="137" t="s">
        <v>291</v>
      </c>
      <c r="D57" s="138">
        <f>E57/E51</f>
        <v>9.375E-2</v>
      </c>
      <c r="E57" s="139">
        <f>E14</f>
        <v>2013265.9199999999</v>
      </c>
      <c r="F57" s="140">
        <v>0.5</v>
      </c>
      <c r="G57" s="139">
        <f>E57*F57</f>
        <v>1006632.96</v>
      </c>
      <c r="H57" s="463">
        <v>0.95</v>
      </c>
      <c r="I57" s="139">
        <f>G57*H57</f>
        <v>956301.31199999992</v>
      </c>
      <c r="J57" s="463">
        <v>0.05</v>
      </c>
      <c r="K57" s="441">
        <f>I57*J57</f>
        <v>47815.065600000002</v>
      </c>
      <c r="S57" s="88"/>
      <c r="T57" s="253"/>
      <c r="U57" s="253"/>
      <c r="V57" s="253"/>
      <c r="W57" s="253"/>
      <c r="X57" s="253"/>
      <c r="Y57" s="253"/>
      <c r="Z57" s="253"/>
      <c r="AA57" s="253"/>
      <c r="AB57" s="253"/>
      <c r="AC57" s="253"/>
      <c r="AD57" s="253"/>
      <c r="AE57" s="253"/>
      <c r="AF57" s="253"/>
      <c r="AG57" s="253"/>
      <c r="AH57" s="253"/>
      <c r="AI57" s="253"/>
      <c r="AJ57" s="253"/>
      <c r="AK57" s="253"/>
      <c r="AL57" s="248"/>
      <c r="AM57" s="937" t="s">
        <v>1293</v>
      </c>
      <c r="AN57" s="1003"/>
      <c r="AO57" s="255"/>
      <c r="AP57" s="1260" t="s">
        <v>1293</v>
      </c>
      <c r="AQ57" s="456"/>
      <c r="AR57" s="239"/>
      <c r="AS57" s="208">
        <f>AS50</f>
        <v>0.34766483492620565</v>
      </c>
      <c r="AT57" s="80">
        <f>AS57</f>
        <v>0.34766483492620565</v>
      </c>
      <c r="BQ57" s="77" t="s">
        <v>966</v>
      </c>
      <c r="BR57" s="77"/>
      <c r="BS57" s="77" t="s">
        <v>965</v>
      </c>
      <c r="BT57" s="77"/>
      <c r="BU57" s="77"/>
    </row>
    <row r="58" spans="3:75"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48"/>
      <c r="AM58" s="937" t="s">
        <v>1294</v>
      </c>
      <c r="AN58" s="996">
        <f>AN56*AO58</f>
        <v>1342531553.5429084</v>
      </c>
      <c r="AO58" s="923">
        <v>0.06</v>
      </c>
      <c r="AP58" s="924" t="s">
        <v>1443</v>
      </c>
      <c r="AQ58" s="925"/>
      <c r="AR58" s="239"/>
      <c r="AS58" s="76"/>
      <c r="AT58" s="1">
        <f>AT57/AT55</f>
        <v>2.0450872642717979</v>
      </c>
      <c r="BQ58" s="77" t="s">
        <v>785</v>
      </c>
      <c r="BR58" s="77"/>
      <c r="BS58" s="77" t="s">
        <v>962</v>
      </c>
      <c r="BT58" s="77"/>
      <c r="BU58" s="77"/>
    </row>
    <row r="59" spans="3:75"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76"/>
      <c r="AK59" s="410"/>
      <c r="AL59" s="928"/>
      <c r="AM59" s="948" t="s">
        <v>1295</v>
      </c>
      <c r="AN59" s="911">
        <f>AN56*AO59</f>
        <v>1118776294.6190906</v>
      </c>
      <c r="AO59" s="912">
        <v>0.05</v>
      </c>
      <c r="AP59" s="875" t="s">
        <v>1162</v>
      </c>
      <c r="AQ59" s="126"/>
      <c r="AR59" s="239"/>
      <c r="AS59" s="76"/>
      <c r="AX59" s="32"/>
    </row>
    <row r="60" spans="3:75" ht="16.2" thickBot="1" x14ac:dyDescent="0.35">
      <c r="C60" s="397" t="s">
        <v>276</v>
      </c>
      <c r="D60" s="398">
        <f>100%-D57-D63</f>
        <v>0.63099980959668756</v>
      </c>
      <c r="E60" s="399">
        <f>E51*D60</f>
        <v>13550617.73</v>
      </c>
      <c r="F60" s="400">
        <v>1</v>
      </c>
      <c r="G60" s="399">
        <f>E60*F60</f>
        <v>13550617.73</v>
      </c>
      <c r="H60" s="464">
        <v>0.9</v>
      </c>
      <c r="I60" s="399">
        <f>G60*H60</f>
        <v>12195555.957</v>
      </c>
      <c r="J60" s="464">
        <v>0.05</v>
      </c>
      <c r="K60" s="453">
        <f>I60*J60</f>
        <v>609777.79785000009</v>
      </c>
      <c r="S60" s="88"/>
      <c r="Y60" s="238"/>
      <c r="Z60" s="238"/>
      <c r="AA60" s="238"/>
      <c r="AB60" s="238"/>
      <c r="AC60" s="238"/>
      <c r="AD60" s="238"/>
      <c r="AE60" s="238"/>
      <c r="AF60" s="238"/>
      <c r="AG60" s="238"/>
      <c r="AH60" s="238"/>
      <c r="AI60" s="238"/>
      <c r="AJ60" s="76"/>
      <c r="AK60" s="76"/>
      <c r="AL60" s="239"/>
      <c r="AM60" s="948" t="s">
        <v>1296</v>
      </c>
      <c r="AN60" s="911">
        <f>AN56*AO60</f>
        <v>895021035.69527245</v>
      </c>
      <c r="AO60" s="912">
        <v>0.04</v>
      </c>
      <c r="AP60" s="875" t="s">
        <v>1441</v>
      </c>
      <c r="AQ60" s="126"/>
      <c r="AR60" s="239"/>
      <c r="AS60" s="691">
        <f>AS32+AS47</f>
        <v>25072217155.852726</v>
      </c>
      <c r="AT60" s="1" t="s">
        <v>958</v>
      </c>
      <c r="BG60" s="1"/>
      <c r="BK60" s="1"/>
      <c r="BV60" s="1"/>
      <c r="BW60" s="1"/>
    </row>
    <row r="61" spans="3:75" x14ac:dyDescent="0.3">
      <c r="C61" s="403"/>
      <c r="D61" s="118"/>
      <c r="E61" s="837"/>
      <c r="F61" s="7"/>
      <c r="G61" s="7"/>
      <c r="H61" s="7"/>
      <c r="I61" s="8"/>
      <c r="J61" s="122"/>
      <c r="K61" s="8"/>
      <c r="S61" s="88"/>
      <c r="Y61" s="238"/>
      <c r="Z61" s="238"/>
      <c r="AA61" s="238"/>
      <c r="AB61" s="238"/>
      <c r="AC61" s="238"/>
      <c r="AD61" s="238"/>
      <c r="AE61" s="238"/>
      <c r="AF61" s="238"/>
      <c r="AG61" s="238"/>
      <c r="AH61" s="238"/>
      <c r="AI61" s="238"/>
      <c r="AJ61" s="76"/>
      <c r="AK61" s="410"/>
      <c r="AL61" s="927"/>
      <c r="AM61" s="948" t="s">
        <v>1297</v>
      </c>
      <c r="AN61" s="911">
        <f>AN56*AO61</f>
        <v>1342531553.5429084</v>
      </c>
      <c r="AO61" s="912">
        <v>0.06</v>
      </c>
      <c r="AP61" s="875" t="s">
        <v>1303</v>
      </c>
      <c r="AQ61" s="126"/>
      <c r="AR61" s="253"/>
      <c r="AS61" s="647">
        <f>AS60/AS47</f>
        <v>3.7813186794096452</v>
      </c>
    </row>
    <row r="62" spans="3:75"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76"/>
      <c r="AK62" s="76"/>
      <c r="AL62" s="239"/>
      <c r="AM62" s="948" t="s">
        <v>1300</v>
      </c>
      <c r="AN62" s="911">
        <f>AN56*AO62</f>
        <v>1342531553.5429084</v>
      </c>
      <c r="AO62" s="912">
        <v>0.06</v>
      </c>
      <c r="AP62" s="410" t="s">
        <v>1442</v>
      </c>
      <c r="AQ62" s="126"/>
      <c r="AR62" s="253"/>
    </row>
    <row r="63" spans="3:75" ht="16.2" thickBot="1" x14ac:dyDescent="0.35">
      <c r="C63" s="149" t="s">
        <v>737</v>
      </c>
      <c r="D63" s="150">
        <f>E63/E51</f>
        <v>0.27525019040331244</v>
      </c>
      <c r="E63" s="151">
        <f>E21</f>
        <v>5910952.8300000001</v>
      </c>
      <c r="F63" s="152">
        <v>0.3</v>
      </c>
      <c r="G63" s="151">
        <f>E63*F63</f>
        <v>1773285.8489999999</v>
      </c>
      <c r="H63" s="465">
        <v>0.9</v>
      </c>
      <c r="I63" s="151">
        <f>G63*H63</f>
        <v>1595957.2641</v>
      </c>
      <c r="J63" s="465">
        <v>0.05</v>
      </c>
      <c r="K63" s="444">
        <f>I63*J63</f>
        <v>79797.863205000001</v>
      </c>
      <c r="S63" s="88"/>
      <c r="Y63" s="238"/>
      <c r="Z63" s="238"/>
      <c r="AA63" s="238"/>
      <c r="AB63" s="238"/>
      <c r="AC63" s="238"/>
      <c r="AD63" s="238"/>
      <c r="AE63" s="238"/>
      <c r="AF63" s="238"/>
      <c r="AG63" s="238"/>
      <c r="AH63" s="238"/>
      <c r="AI63" s="926"/>
      <c r="AJ63" s="410"/>
      <c r="AK63" s="410"/>
      <c r="AL63" s="927"/>
      <c r="AM63" s="948" t="s">
        <v>1305</v>
      </c>
      <c r="AN63" s="911">
        <f>AN56*AO63</f>
        <v>895021035.69527245</v>
      </c>
      <c r="AO63" s="912">
        <v>0.04</v>
      </c>
      <c r="AP63" s="410" t="s">
        <v>148</v>
      </c>
      <c r="AQ63" s="126"/>
      <c r="AR63" s="253"/>
    </row>
    <row r="64" spans="3:75" ht="16.2" thickBot="1" x14ac:dyDescent="0.35">
      <c r="C64" s="141"/>
      <c r="D64" s="429"/>
      <c r="E64" s="371"/>
      <c r="F64" s="430"/>
      <c r="G64" s="432" t="s">
        <v>738</v>
      </c>
      <c r="H64" s="142"/>
      <c r="I64" s="449" t="s">
        <v>738</v>
      </c>
      <c r="J64" s="433"/>
      <c r="K64" s="434"/>
      <c r="S64" s="88"/>
      <c r="Y64" s="238"/>
      <c r="AE64" s="252"/>
      <c r="AG64" s="88"/>
      <c r="AI64" s="106"/>
      <c r="AJ64" s="964"/>
      <c r="AK64" s="106"/>
      <c r="AL64" s="929"/>
      <c r="AM64" s="938"/>
      <c r="AN64" s="1004"/>
      <c r="AO64" s="1005"/>
      <c r="AP64" s="1005"/>
      <c r="AQ64" s="903"/>
      <c r="AR64" s="253"/>
    </row>
    <row r="65" spans="3:75" ht="16.2" thickBot="1" x14ac:dyDescent="0.35">
      <c r="C65" s="141"/>
      <c r="D65" s="429"/>
      <c r="E65" s="371"/>
      <c r="F65" s="430">
        <v>0.25</v>
      </c>
      <c r="G65" s="432">
        <f>E63*F65</f>
        <v>1477738.2075</v>
      </c>
      <c r="H65" s="466">
        <v>0.95</v>
      </c>
      <c r="I65" s="432">
        <f>G65*H65</f>
        <v>1403851.297125</v>
      </c>
      <c r="J65" s="466">
        <v>0.05</v>
      </c>
      <c r="K65" s="449">
        <f>I65*J65</f>
        <v>70192.564856249999</v>
      </c>
      <c r="S65" s="88"/>
      <c r="Y65" s="238"/>
      <c r="AE65" s="252"/>
      <c r="AG65" s="88"/>
      <c r="AI65" s="106"/>
      <c r="AJ65" s="964"/>
      <c r="AK65" s="106"/>
      <c r="AL65" s="927"/>
      <c r="AM65" s="939" t="s">
        <v>1299</v>
      </c>
      <c r="AN65" s="1006">
        <f>AN53</f>
        <v>5497558138.8800001</v>
      </c>
      <c r="AO65" s="935">
        <f>AN65/AN56</f>
        <v>0.24569514769490861</v>
      </c>
      <c r="AP65" s="898" t="s">
        <v>1311</v>
      </c>
      <c r="AQ65" s="905"/>
      <c r="AR65" s="253"/>
    </row>
    <row r="66" spans="3:75" ht="16.2" thickBot="1" x14ac:dyDescent="0.35">
      <c r="C66" s="122"/>
      <c r="D66" s="94">
        <f>SUM(D57:D63)</f>
        <v>1</v>
      </c>
      <c r="E66" s="7"/>
      <c r="F66" s="153"/>
      <c r="G66" s="154" t="s">
        <v>293</v>
      </c>
      <c r="H66" s="7"/>
      <c r="I66" s="448" t="s">
        <v>294</v>
      </c>
      <c r="J66" s="122"/>
      <c r="K66" s="8"/>
      <c r="S66" s="88"/>
      <c r="W66" s="77" t="s">
        <v>805</v>
      </c>
      <c r="Y66" s="238"/>
      <c r="AA66" s="576"/>
      <c r="AB66" s="88"/>
      <c r="AD66" s="88"/>
      <c r="AE66" s="252"/>
      <c r="AG66" s="88"/>
      <c r="AH66" s="88"/>
      <c r="AI66" s="106"/>
      <c r="AJ66" s="964"/>
      <c r="AK66" s="106"/>
      <c r="AL66" s="106"/>
      <c r="AM66" s="940" t="s">
        <v>1325</v>
      </c>
      <c r="AN66" s="930">
        <f>AN56*AO66</f>
        <v>111877629.46190906</v>
      </c>
      <c r="AO66" s="931">
        <v>5.0000000000000001E-3</v>
      </c>
      <c r="AP66" s="898" t="s">
        <v>1315</v>
      </c>
      <c r="AQ66" s="905"/>
      <c r="AR66" s="946">
        <v>272</v>
      </c>
      <c r="AS66" s="181" t="s">
        <v>1314</v>
      </c>
    </row>
    <row r="67" spans="3:75" ht="16.2" thickBot="1" x14ac:dyDescent="0.35">
      <c r="C67" s="122"/>
      <c r="D67" s="7"/>
      <c r="E67" s="7"/>
      <c r="F67" s="153">
        <v>0.2</v>
      </c>
      <c r="G67" s="99">
        <f>E63*F67</f>
        <v>1182190.5660000001</v>
      </c>
      <c r="H67" s="467">
        <v>0.9</v>
      </c>
      <c r="I67" s="99">
        <f>G67*H67</f>
        <v>1063971.5094000001</v>
      </c>
      <c r="J67" s="467">
        <v>0.05</v>
      </c>
      <c r="K67" s="443">
        <f>I67*J67</f>
        <v>53198.575470000011</v>
      </c>
      <c r="S67" s="88"/>
      <c r="W67" s="949">
        <v>2024</v>
      </c>
      <c r="Y67" s="76"/>
      <c r="AA67" s="952"/>
      <c r="AB67" s="252"/>
      <c r="AD67" s="252"/>
      <c r="AE67" s="252"/>
      <c r="AG67" s="88"/>
      <c r="AI67" s="106"/>
      <c r="AJ67" s="964"/>
      <c r="AK67" s="106"/>
      <c r="AL67" s="106"/>
      <c r="AM67" s="940" t="s">
        <v>1307</v>
      </c>
      <c r="AN67" s="930">
        <f>AN56*AO67</f>
        <v>671265776.77145422</v>
      </c>
      <c r="AO67" s="931">
        <v>0.03</v>
      </c>
      <c r="AP67" s="898" t="s">
        <v>1323</v>
      </c>
      <c r="AQ67" s="905"/>
      <c r="AR67" s="945">
        <v>100</v>
      </c>
      <c r="AS67" s="938">
        <f>AR66*AR67</f>
        <v>27200</v>
      </c>
      <c r="AT67" s="1" t="s">
        <v>1316</v>
      </c>
    </row>
    <row r="68" spans="3:75" ht="16.2" thickBot="1" x14ac:dyDescent="0.35">
      <c r="C68" s="122"/>
      <c r="D68" s="7"/>
      <c r="E68" s="7"/>
      <c r="F68" s="445"/>
      <c r="G68" s="445" t="s">
        <v>733</v>
      </c>
      <c r="H68" s="7"/>
      <c r="I68" s="452" t="s">
        <v>733</v>
      </c>
      <c r="J68" s="122"/>
      <c r="K68" s="8"/>
      <c r="R68" s="38"/>
      <c r="S68" s="582"/>
      <c r="W68" s="77" t="s">
        <v>672</v>
      </c>
      <c r="Y68" s="238"/>
      <c r="AA68" s="576"/>
      <c r="AB68" s="88"/>
      <c r="AD68" s="88"/>
      <c r="AE68" s="252"/>
      <c r="AG68" s="88"/>
      <c r="AH68" s="88"/>
      <c r="AI68" s="106"/>
      <c r="AJ68" s="964"/>
      <c r="AK68" s="106"/>
      <c r="AL68" s="251"/>
      <c r="AM68" s="940" t="s">
        <v>1308</v>
      </c>
      <c r="AN68" s="930">
        <f>AN56*AO68</f>
        <v>671265776.77145422</v>
      </c>
      <c r="AO68" s="931">
        <v>0.03</v>
      </c>
      <c r="AP68" s="898" t="s">
        <v>1438</v>
      </c>
      <c r="AQ68" s="905"/>
      <c r="AR68" s="600"/>
      <c r="AS68" s="1">
        <v>1000</v>
      </c>
      <c r="AT68" s="1" t="s">
        <v>226</v>
      </c>
    </row>
    <row r="69" spans="3:75" ht="16.2" thickBot="1" x14ac:dyDescent="0.35">
      <c r="C69" s="122"/>
      <c r="D69" s="7"/>
      <c r="E69" s="7"/>
      <c r="F69" s="438">
        <v>0.2</v>
      </c>
      <c r="G69" s="446">
        <f>E63*F69</f>
        <v>1182190.5660000001</v>
      </c>
      <c r="H69" s="447">
        <v>0.25</v>
      </c>
      <c r="I69" s="446">
        <f>G69*H69</f>
        <v>295547.64150000003</v>
      </c>
      <c r="J69" s="447">
        <v>0.05</v>
      </c>
      <c r="K69" s="439">
        <f>I69*J69</f>
        <v>14777.382075000001</v>
      </c>
      <c r="Q69" s="240" t="s">
        <v>952</v>
      </c>
      <c r="S69" s="88"/>
      <c r="W69" s="691">
        <f>AQ47</f>
        <v>6630548568.2489748</v>
      </c>
      <c r="Y69" s="238"/>
      <c r="AA69" s="952"/>
      <c r="AB69" s="88"/>
      <c r="AD69" s="88"/>
      <c r="AE69" s="252"/>
      <c r="AF69" s="88"/>
      <c r="AG69" s="88"/>
      <c r="AH69" s="88"/>
      <c r="AI69" s="88"/>
      <c r="AJ69" s="958"/>
      <c r="AK69" s="88"/>
      <c r="AL69" s="88"/>
      <c r="AM69" s="940" t="s">
        <v>1317</v>
      </c>
      <c r="AN69" s="930">
        <f>AN56*AO69</f>
        <v>671265776.77145422</v>
      </c>
      <c r="AO69" s="931">
        <v>0.03</v>
      </c>
      <c r="AP69" s="898" t="s">
        <v>1356</v>
      </c>
      <c r="AQ69" s="905"/>
      <c r="AR69" s="601"/>
      <c r="AS69" s="1">
        <f>AS67*AS68</f>
        <v>27200000</v>
      </c>
      <c r="AT69" s="1" t="s">
        <v>1320</v>
      </c>
    </row>
    <row r="70" spans="3:75" x14ac:dyDescent="0.3">
      <c r="C70" s="122"/>
      <c r="D70" s="7"/>
      <c r="E70" s="7"/>
      <c r="F70" s="142"/>
      <c r="G70" s="371"/>
      <c r="H70" s="142"/>
      <c r="I70" s="434"/>
      <c r="J70" s="142"/>
      <c r="K70" s="434"/>
      <c r="L70" s="240" t="s">
        <v>1367</v>
      </c>
      <c r="O70" s="240" t="s">
        <v>803</v>
      </c>
      <c r="Q70" s="951">
        <f>O72</f>
        <v>256</v>
      </c>
      <c r="S70" s="248" t="s">
        <v>367</v>
      </c>
      <c r="U70" s="77" t="s">
        <v>1328</v>
      </c>
      <c r="W70" s="77" t="s">
        <v>806</v>
      </c>
      <c r="Y70" s="238"/>
      <c r="AA70" s="88"/>
      <c r="AB70" s="88"/>
      <c r="AD70" s="88"/>
      <c r="AE70" s="252"/>
      <c r="AF70" s="88"/>
      <c r="AG70" s="88"/>
      <c r="AH70" s="88"/>
      <c r="AI70" s="88"/>
      <c r="AJ70" s="958"/>
      <c r="AK70" s="88"/>
      <c r="AL70" s="88"/>
      <c r="AM70" s="940" t="s">
        <v>1318</v>
      </c>
      <c r="AN70" s="930">
        <f>AN56*AO70</f>
        <v>671265776.77145422</v>
      </c>
      <c r="AO70" s="931">
        <v>0.03</v>
      </c>
      <c r="AP70" s="898" t="s">
        <v>1357</v>
      </c>
      <c r="AQ70" s="905"/>
      <c r="AR70" s="600"/>
      <c r="AS70" s="1">
        <f>AS69*2</f>
        <v>54400000</v>
      </c>
      <c r="AT70" s="1" t="s">
        <v>1346</v>
      </c>
      <c r="BG70" s="1"/>
      <c r="BK70" s="1"/>
      <c r="BV70" s="1"/>
      <c r="BW70" s="1"/>
    </row>
    <row r="71" spans="3:75" x14ac:dyDescent="0.3">
      <c r="C71" s="122"/>
      <c r="D71" s="7"/>
      <c r="E71" s="7"/>
      <c r="F71" s="7"/>
      <c r="G71" s="7"/>
      <c r="H71" s="7"/>
      <c r="I71" s="8"/>
      <c r="J71" s="122"/>
      <c r="K71" s="8"/>
      <c r="L71" s="240" t="s">
        <v>1387</v>
      </c>
      <c r="M71" s="239" t="s">
        <v>1327</v>
      </c>
      <c r="O71" s="240" t="s">
        <v>902</v>
      </c>
      <c r="Q71" s="240" t="s">
        <v>902</v>
      </c>
      <c r="S71" s="955">
        <f>AO53</f>
        <v>256</v>
      </c>
      <c r="U71" s="77" t="s">
        <v>804</v>
      </c>
      <c r="V71" s="947"/>
      <c r="W71" s="319">
        <v>0.3</v>
      </c>
      <c r="Y71" s="76" t="s">
        <v>893</v>
      </c>
      <c r="Z71" s="76"/>
      <c r="AA71" s="77" t="s">
        <v>1332</v>
      </c>
      <c r="AB71" s="88"/>
      <c r="AE71" s="958"/>
      <c r="AF71" s="644" t="s">
        <v>986</v>
      </c>
      <c r="AG71" s="958"/>
      <c r="AH71" s="88"/>
      <c r="AI71" s="88"/>
      <c r="AJ71" s="958"/>
      <c r="AK71" s="88"/>
      <c r="AL71" s="88"/>
      <c r="AM71" s="940" t="s">
        <v>1319</v>
      </c>
      <c r="AN71" s="930">
        <f>AN56*AO71</f>
        <v>671265776.77145422</v>
      </c>
      <c r="AO71" s="931">
        <v>0.03</v>
      </c>
      <c r="AP71" s="898" t="s">
        <v>1358</v>
      </c>
      <c r="AQ71" s="905"/>
      <c r="AR71" s="936"/>
    </row>
    <row r="72" spans="3:75" x14ac:dyDescent="0.3">
      <c r="C72" s="158"/>
      <c r="D72" s="10"/>
      <c r="E72" s="10"/>
      <c r="F72" s="10"/>
      <c r="G72" s="159">
        <f>SUM(G53:G71)</f>
        <v>21179288.838500001</v>
      </c>
      <c r="H72" s="160"/>
      <c r="I72" s="172">
        <f>SUM(I53:I71)</f>
        <v>18215828.053124998</v>
      </c>
      <c r="J72" s="158"/>
      <c r="K72" s="481">
        <f>SUM(K53:K71)</f>
        <v>910791.40265625017</v>
      </c>
      <c r="L72" s="482">
        <f>AN34</f>
        <v>5.0700844497008459</v>
      </c>
      <c r="M72" s="480">
        <f>K72*L72</f>
        <v>4617789.327528676</v>
      </c>
      <c r="N72" s="239"/>
      <c r="O72" s="950">
        <f>AO53</f>
        <v>256</v>
      </c>
      <c r="P72" s="239"/>
      <c r="Q72" s="480">
        <f>M72*O72</f>
        <v>1182154067.8473411</v>
      </c>
      <c r="R72" s="239"/>
      <c r="S72" s="956">
        <f>M72*S71</f>
        <v>1182154067.8473411</v>
      </c>
      <c r="T72" s="239"/>
      <c r="U72" s="910">
        <f>Q72+S72</f>
        <v>2364308135.6946821</v>
      </c>
      <c r="V72" s="949" t="s">
        <v>1330</v>
      </c>
      <c r="W72" s="910">
        <f>W69*W71</f>
        <v>1989164570.4746923</v>
      </c>
      <c r="X72" s="949" t="s">
        <v>1330</v>
      </c>
      <c r="Y72" s="910">
        <f>AN59+AN60+AN61+AN62+AN63</f>
        <v>5593881473.0954523</v>
      </c>
      <c r="Z72" s="949" t="s">
        <v>1331</v>
      </c>
      <c r="AA72" s="910">
        <f>U72+W72+Y72</f>
        <v>9947354179.2648277</v>
      </c>
      <c r="AB72" s="238"/>
      <c r="AC72" s="238"/>
      <c r="AD72" s="961"/>
      <c r="AE72" s="644" t="s">
        <v>805</v>
      </c>
      <c r="AF72" s="958"/>
      <c r="AG72" s="644" t="s">
        <v>987</v>
      </c>
      <c r="AH72" s="958"/>
      <c r="AI72" s="181"/>
      <c r="AJ72" s="958"/>
      <c r="AK72" s="88"/>
      <c r="AL72" s="88"/>
      <c r="AM72" s="940" t="s">
        <v>1312</v>
      </c>
      <c r="AN72" s="930">
        <f>AN56*AO72</f>
        <v>671265776.77145422</v>
      </c>
      <c r="AO72" s="931">
        <v>0.03</v>
      </c>
      <c r="AP72" s="898" t="s">
        <v>1359</v>
      </c>
      <c r="AQ72" s="905"/>
      <c r="AR72" s="812"/>
    </row>
    <row r="73" spans="3:75"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AI73" s="88"/>
      <c r="AJ73" s="88"/>
      <c r="AK73" s="88"/>
      <c r="AL73" s="88"/>
      <c r="AM73" s="940" t="s">
        <v>1313</v>
      </c>
      <c r="AN73" s="930">
        <f>AN56*AO73</f>
        <v>447510517.84763622</v>
      </c>
      <c r="AO73" s="931">
        <v>0.02</v>
      </c>
      <c r="AP73" s="898" t="s">
        <v>1361</v>
      </c>
      <c r="AQ73" s="905"/>
      <c r="AR73" s="255"/>
    </row>
    <row r="74" spans="3:75"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AI74" s="88"/>
      <c r="AJ74" s="252"/>
      <c r="AK74" s="252"/>
      <c r="AL74" s="252"/>
      <c r="AM74" s="940" t="s">
        <v>1324</v>
      </c>
      <c r="AN74" s="930">
        <f>AN56*AO74</f>
        <v>1118776294.6190906</v>
      </c>
      <c r="AO74" s="931">
        <v>0.05</v>
      </c>
      <c r="AP74" s="898" t="s">
        <v>1439</v>
      </c>
      <c r="AQ74" s="905"/>
      <c r="AR74" s="255"/>
    </row>
    <row r="75" spans="3:75"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106" si="30">AD74+1</f>
        <v>2017</v>
      </c>
      <c r="AE75" s="691">
        <f t="shared" ref="AE75:AE106" si="31">AE74+AG74</f>
        <v>5578050000</v>
      </c>
      <c r="AF75" s="963">
        <f t="shared" si="28"/>
        <v>2.5000000000000001E-2</v>
      </c>
      <c r="AG75" s="691">
        <f t="shared" si="29"/>
        <v>139451250</v>
      </c>
      <c r="AI75" s="88"/>
      <c r="AJ75" s="252"/>
      <c r="AK75" s="88"/>
      <c r="AL75" s="88"/>
      <c r="AM75" s="940" t="s">
        <v>1306</v>
      </c>
      <c r="AN75" s="930">
        <f>AN56*AO75</f>
        <v>447510517.84763622</v>
      </c>
      <c r="AO75" s="931">
        <v>0.02</v>
      </c>
      <c r="AP75" s="899" t="s">
        <v>1360</v>
      </c>
      <c r="AQ75" s="932"/>
      <c r="AR75" s="255"/>
    </row>
    <row r="76" spans="3:75" x14ac:dyDescent="0.3">
      <c r="R76" s="88"/>
      <c r="S76" s="252"/>
      <c r="T76" s="88"/>
      <c r="U76" s="88"/>
      <c r="V76" s="88"/>
      <c r="W76" s="88"/>
      <c r="X76" s="88"/>
      <c r="Y76" s="88"/>
      <c r="Z76" s="361" t="s">
        <v>1347</v>
      </c>
      <c r="AA76" s="736">
        <f>AA72</f>
        <v>9947354179.2648277</v>
      </c>
      <c r="AB76" s="88"/>
      <c r="AD76" s="960">
        <f t="shared" si="30"/>
        <v>2018</v>
      </c>
      <c r="AE76" s="691">
        <f t="shared" si="31"/>
        <v>5717501250</v>
      </c>
      <c r="AF76" s="963">
        <f t="shared" si="28"/>
        <v>2.5000000000000001E-2</v>
      </c>
      <c r="AG76" s="691">
        <f t="shared" si="29"/>
        <v>142937531.25</v>
      </c>
      <c r="AI76" s="88"/>
      <c r="AJ76" s="252"/>
      <c r="AK76" s="88"/>
      <c r="AL76" s="88"/>
      <c r="AM76" s="941" t="s">
        <v>1309</v>
      </c>
      <c r="AN76" s="930">
        <f>AN56*AO76</f>
        <v>447510517.84763622</v>
      </c>
      <c r="AO76" s="931">
        <v>0.02</v>
      </c>
      <c r="AP76" s="899" t="s">
        <v>1440</v>
      </c>
      <c r="AQ76" s="932"/>
      <c r="AR76" s="255"/>
    </row>
    <row r="77" spans="3:75"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AI77" s="88"/>
      <c r="AJ77" s="88"/>
      <c r="AK77" s="88"/>
      <c r="AL77" s="88"/>
      <c r="AM77" s="940" t="s">
        <v>1310</v>
      </c>
      <c r="AN77" s="904">
        <f>AN56*AO77</f>
        <v>1118776294.6190906</v>
      </c>
      <c r="AO77" s="1065">
        <v>0.05</v>
      </c>
      <c r="AP77" s="898" t="s">
        <v>1362</v>
      </c>
      <c r="AQ77" s="905"/>
      <c r="AR77" s="255"/>
    </row>
    <row r="78" spans="3:75" x14ac:dyDescent="0.3">
      <c r="R78" s="88"/>
      <c r="S78" s="252"/>
      <c r="T78" s="88"/>
      <c r="U78" s="88"/>
      <c r="V78" s="88"/>
      <c r="W78" s="88"/>
      <c r="X78" s="88"/>
      <c r="Y78" s="88"/>
      <c r="Z78" s="555" t="s">
        <v>1333</v>
      </c>
      <c r="AA78" s="957">
        <f>AA72/W72</f>
        <v>5.0007698341877269</v>
      </c>
      <c r="AB78" s="252"/>
      <c r="AD78" s="960">
        <f t="shared" si="30"/>
        <v>2020</v>
      </c>
      <c r="AE78" s="691">
        <f t="shared" si="31"/>
        <v>6006949750.78125</v>
      </c>
      <c r="AF78" s="963">
        <f t="shared" si="28"/>
        <v>2.5000000000000001E-2</v>
      </c>
      <c r="AG78" s="691">
        <f t="shared" si="29"/>
        <v>150173743.76953125</v>
      </c>
      <c r="AI78" s="88"/>
      <c r="AJ78" s="88"/>
      <c r="AK78" s="88"/>
      <c r="AL78" s="88"/>
      <c r="AM78" s="940" t="s">
        <v>1452</v>
      </c>
      <c r="AN78" s="904">
        <f>AN56*AO78</f>
        <v>671265776.77145422</v>
      </c>
      <c r="AO78" s="1065">
        <v>0.03</v>
      </c>
      <c r="AP78" s="898" t="s">
        <v>1450</v>
      </c>
      <c r="AQ78" s="905"/>
      <c r="AR78" s="255"/>
    </row>
    <row r="79" spans="3:75" x14ac:dyDescent="0.3">
      <c r="R79" s="88"/>
      <c r="S79" s="252"/>
      <c r="T79" s="88"/>
      <c r="U79" s="88"/>
      <c r="V79" s="88"/>
      <c r="W79" s="88"/>
      <c r="X79" s="88"/>
      <c r="AB79" s="252"/>
      <c r="AD79" s="960">
        <f t="shared" si="30"/>
        <v>2021</v>
      </c>
      <c r="AE79" s="691">
        <f t="shared" si="31"/>
        <v>6157123494.5507813</v>
      </c>
      <c r="AF79" s="963">
        <f t="shared" si="28"/>
        <v>2.5000000000000001E-2</v>
      </c>
      <c r="AG79" s="691">
        <f t="shared" si="29"/>
        <v>153928087.36376953</v>
      </c>
      <c r="AI79" s="88"/>
      <c r="AJ79" s="88"/>
      <c r="AK79" s="88"/>
      <c r="AL79" s="88"/>
      <c r="AM79" s="940" t="s">
        <v>1453</v>
      </c>
      <c r="AN79" s="904">
        <f>AN56*AO79</f>
        <v>0</v>
      </c>
      <c r="AO79" s="1065">
        <v>0</v>
      </c>
      <c r="AP79" s="898" t="s">
        <v>1451</v>
      </c>
      <c r="AQ79" s="905"/>
      <c r="AR79" s="255"/>
    </row>
    <row r="80" spans="3:75" x14ac:dyDescent="0.3">
      <c r="R80" s="88"/>
      <c r="S80" s="252"/>
      <c r="T80" s="88"/>
      <c r="U80" s="88"/>
      <c r="V80" s="88"/>
      <c r="W80" s="88"/>
      <c r="X80" s="88"/>
      <c r="AB80" s="88"/>
      <c r="AD80" s="960">
        <f t="shared" si="30"/>
        <v>2022</v>
      </c>
      <c r="AE80" s="691">
        <f t="shared" si="31"/>
        <v>6311051581.9145508</v>
      </c>
      <c r="AF80" s="963">
        <f t="shared" si="28"/>
        <v>2.5000000000000001E-2</v>
      </c>
      <c r="AG80" s="691">
        <f t="shared" si="29"/>
        <v>157776289.54786378</v>
      </c>
      <c r="AI80" s="88"/>
      <c r="AJ80" s="88"/>
      <c r="AK80" s="88"/>
      <c r="AL80" s="88"/>
      <c r="AM80" s="940" t="s">
        <v>1326</v>
      </c>
      <c r="AN80" s="904">
        <f>AN56*AO80</f>
        <v>671265776.77145422</v>
      </c>
      <c r="AO80" s="1065">
        <v>0.03</v>
      </c>
      <c r="AP80" s="898" t="s">
        <v>1348</v>
      </c>
      <c r="AQ80" s="905"/>
      <c r="AR80" s="251"/>
    </row>
    <row r="81" spans="18:45" x14ac:dyDescent="0.3">
      <c r="R81" s="88"/>
      <c r="S81" s="252"/>
      <c r="T81" s="88"/>
      <c r="U81" s="88"/>
      <c r="V81" s="88"/>
      <c r="W81" s="88"/>
      <c r="AB81" s="88"/>
      <c r="AD81" s="960">
        <f t="shared" si="30"/>
        <v>2023</v>
      </c>
      <c r="AE81" s="691">
        <f t="shared" si="31"/>
        <v>6468827871.4624147</v>
      </c>
      <c r="AF81" s="963">
        <f t="shared" si="28"/>
        <v>2.5000000000000001E-2</v>
      </c>
      <c r="AG81" s="691">
        <f t="shared" si="29"/>
        <v>161720696.78656039</v>
      </c>
      <c r="AI81" s="88"/>
      <c r="AJ81" s="88"/>
      <c r="AK81" s="88"/>
      <c r="AL81" s="88"/>
      <c r="AM81" s="940" t="s">
        <v>1298</v>
      </c>
      <c r="AN81" s="930">
        <f>AN56*AO81</f>
        <v>671265776.77145422</v>
      </c>
      <c r="AO81" s="931">
        <v>0.03</v>
      </c>
      <c r="AP81" s="898" t="s">
        <v>1363</v>
      </c>
      <c r="AQ81" s="905"/>
      <c r="AR81" s="251"/>
    </row>
    <row r="82" spans="18:45" x14ac:dyDescent="0.3">
      <c r="R82" s="88"/>
      <c r="S82" s="252"/>
      <c r="T82" s="88"/>
      <c r="U82" s="88"/>
      <c r="V82" s="88"/>
      <c r="W82" s="88"/>
      <c r="X82" s="88"/>
      <c r="Y82" s="88"/>
      <c r="Z82" s="88"/>
      <c r="AA82" s="88"/>
      <c r="AB82" s="88"/>
      <c r="AD82" s="965">
        <f t="shared" si="30"/>
        <v>2024</v>
      </c>
      <c r="AE82" s="182">
        <f t="shared" si="31"/>
        <v>6630548568.2489748</v>
      </c>
      <c r="AF82" s="966">
        <f t="shared" si="28"/>
        <v>2.5000000000000001E-2</v>
      </c>
      <c r="AG82" s="967">
        <f t="shared" si="29"/>
        <v>165763714.20622438</v>
      </c>
      <c r="AI82" s="88"/>
      <c r="AJ82" s="88"/>
      <c r="AK82" s="88"/>
      <c r="AL82" s="88"/>
      <c r="AM82" s="942"/>
      <c r="AN82" s="1067"/>
      <c r="AO82" s="1068">
        <f>SUM(AO58:AO81)</f>
        <v>0.99069514769490896</v>
      </c>
      <c r="AP82" s="1069"/>
      <c r="AQ82" s="1070"/>
      <c r="AR82" s="251"/>
    </row>
    <row r="83" spans="18:45" x14ac:dyDescent="0.3">
      <c r="R83" s="88"/>
      <c r="S83" s="252"/>
      <c r="T83" s="88"/>
      <c r="U83" s="88"/>
      <c r="V83" s="88"/>
      <c r="W83" s="88"/>
      <c r="X83" s="88"/>
      <c r="Y83" s="88"/>
      <c r="Z83" s="88"/>
      <c r="AA83" s="88"/>
      <c r="AB83" s="88"/>
      <c r="AD83" s="960">
        <f t="shared" si="30"/>
        <v>2025</v>
      </c>
      <c r="AE83" s="691">
        <f t="shared" si="31"/>
        <v>6796312282.4551992</v>
      </c>
      <c r="AF83" s="963">
        <f t="shared" si="28"/>
        <v>2.5000000000000001E-2</v>
      </c>
      <c r="AG83" s="691">
        <f t="shared" si="29"/>
        <v>169907807.06138</v>
      </c>
      <c r="AI83" s="88"/>
      <c r="AJ83" s="88"/>
      <c r="AK83" s="88"/>
      <c r="AL83" s="88"/>
      <c r="AM83" s="941" t="s">
        <v>1321</v>
      </c>
      <c r="AN83" s="904">
        <f>AN56*AO83</f>
        <v>208200963.67735308</v>
      </c>
      <c r="AO83" s="1065">
        <f>100%-AO82</f>
        <v>9.3048523050910381E-3</v>
      </c>
      <c r="AP83" s="898" t="s">
        <v>148</v>
      </c>
      <c r="AQ83" s="905"/>
      <c r="AR83" s="251"/>
    </row>
    <row r="84" spans="18:45" x14ac:dyDescent="0.3">
      <c r="R84" s="88"/>
      <c r="S84" s="88"/>
      <c r="T84" s="88"/>
      <c r="U84" s="88"/>
      <c r="V84" s="88"/>
      <c r="W84" s="88"/>
      <c r="X84" s="88"/>
      <c r="Y84" s="88"/>
      <c r="Z84" s="88"/>
      <c r="AA84" s="88"/>
      <c r="AB84" s="88"/>
      <c r="AD84" s="960">
        <f t="shared" si="30"/>
        <v>2026</v>
      </c>
      <c r="AE84" s="691">
        <f t="shared" si="31"/>
        <v>6966220089.5165796</v>
      </c>
      <c r="AF84" s="963">
        <f t="shared" si="28"/>
        <v>2.5000000000000001E-2</v>
      </c>
      <c r="AG84" s="691">
        <f t="shared" si="29"/>
        <v>174155502.2379145</v>
      </c>
      <c r="AI84" s="88"/>
      <c r="AJ84" s="88"/>
      <c r="AK84" s="88"/>
      <c r="AL84" s="88"/>
      <c r="AM84" s="943" t="s">
        <v>1322</v>
      </c>
      <c r="AN84" s="1071">
        <f>SUM(AN58:AN83)</f>
        <v>22375525892.381798</v>
      </c>
      <c r="AO84" s="1072">
        <f>AO82+AO83</f>
        <v>1</v>
      </c>
      <c r="AP84" s="1073" t="s">
        <v>59</v>
      </c>
      <c r="AQ84" s="1074"/>
      <c r="AR84" s="251"/>
    </row>
    <row r="85" spans="18:45" x14ac:dyDescent="0.3">
      <c r="R85" s="88"/>
      <c r="S85" s="88"/>
      <c r="T85" s="88"/>
      <c r="U85" s="88"/>
      <c r="V85" s="88"/>
      <c r="AD85" s="960">
        <f t="shared" si="30"/>
        <v>2027</v>
      </c>
      <c r="AE85" s="691">
        <f t="shared" si="31"/>
        <v>7140375591.7544937</v>
      </c>
      <c r="AF85" s="963">
        <f t="shared" si="28"/>
        <v>2.5000000000000001E-2</v>
      </c>
      <c r="AG85" s="691">
        <f t="shared" si="29"/>
        <v>178509389.79386234</v>
      </c>
      <c r="AI85" s="88"/>
      <c r="AJ85" s="88"/>
      <c r="AK85" s="88"/>
      <c r="AL85" s="88"/>
      <c r="AM85" s="943" t="s">
        <v>1329</v>
      </c>
      <c r="AN85" s="179">
        <f>AN59+AN60+AN61+AN62+AN63</f>
        <v>5593881473.0954523</v>
      </c>
      <c r="AO85" s="160"/>
      <c r="AP85" s="160" t="s">
        <v>1364</v>
      </c>
      <c r="AQ85" s="303"/>
      <c r="AR85" s="251"/>
    </row>
    <row r="86" spans="18:45" x14ac:dyDescent="0.3">
      <c r="AD86" s="960">
        <f t="shared" si="30"/>
        <v>2028</v>
      </c>
      <c r="AE86" s="691">
        <f t="shared" si="31"/>
        <v>7318884981.5483561</v>
      </c>
      <c r="AF86" s="963">
        <f t="shared" si="28"/>
        <v>2.5000000000000001E-2</v>
      </c>
      <c r="AG86" s="691">
        <f t="shared" si="29"/>
        <v>182972124.53870893</v>
      </c>
      <c r="AI86" s="88"/>
      <c r="AJ86" s="88"/>
      <c r="AK86" s="88"/>
      <c r="AL86" s="88"/>
      <c r="AM86" s="364"/>
      <c r="AN86" s="1075"/>
      <c r="AO86" s="1076"/>
      <c r="AP86" s="1076"/>
      <c r="AQ86" s="1077"/>
      <c r="AR86" s="251"/>
    </row>
    <row r="87" spans="18:45" x14ac:dyDescent="0.3">
      <c r="AD87" s="960">
        <f t="shared" si="30"/>
        <v>2029</v>
      </c>
      <c r="AE87" s="691">
        <f t="shared" si="31"/>
        <v>7501857106.0870647</v>
      </c>
      <c r="AF87" s="963">
        <f t="shared" si="28"/>
        <v>2.5000000000000001E-2</v>
      </c>
      <c r="AG87" s="691">
        <f t="shared" si="29"/>
        <v>187546427.65217662</v>
      </c>
      <c r="AI87" s="88"/>
      <c r="AJ87" s="88"/>
      <c r="AK87" s="88"/>
      <c r="AL87" s="88"/>
      <c r="AM87" s="1007" t="s">
        <v>1336</v>
      </c>
      <c r="AN87" s="1066">
        <f>AA72</f>
        <v>9947354179.2648277</v>
      </c>
      <c r="AO87" s="251" t="s">
        <v>1335</v>
      </c>
      <c r="AP87" s="251"/>
      <c r="AQ87" s="251"/>
      <c r="AR87" s="251"/>
    </row>
    <row r="88" spans="18:45" x14ac:dyDescent="0.3">
      <c r="AD88" s="960">
        <f t="shared" si="30"/>
        <v>2030</v>
      </c>
      <c r="AE88" s="691">
        <f t="shared" si="31"/>
        <v>7689403533.7392416</v>
      </c>
      <c r="AF88" s="963">
        <f t="shared" si="28"/>
        <v>2.5000000000000001E-2</v>
      </c>
      <c r="AG88" s="691">
        <f t="shared" si="29"/>
        <v>192235088.34348106</v>
      </c>
      <c r="AI88" s="88"/>
      <c r="AJ88" s="88"/>
      <c r="AK88" s="88"/>
      <c r="AL88" s="88"/>
      <c r="AM88" s="1008" t="s">
        <v>1337</v>
      </c>
      <c r="AN88" s="1009">
        <f>W72</f>
        <v>1989164570.4746923</v>
      </c>
      <c r="AO88" s="898" t="s">
        <v>1338</v>
      </c>
      <c r="AP88" s="898"/>
      <c r="AQ88" s="251"/>
      <c r="AR88" s="251"/>
    </row>
    <row r="89" spans="18:45" x14ac:dyDescent="0.3">
      <c r="AD89" s="960">
        <f t="shared" si="30"/>
        <v>2031</v>
      </c>
      <c r="AE89" s="691">
        <f t="shared" si="31"/>
        <v>7881638622.0827227</v>
      </c>
      <c r="AF89" s="963">
        <f t="shared" si="28"/>
        <v>2.5000000000000001E-2</v>
      </c>
      <c r="AG89" s="691">
        <f t="shared" si="29"/>
        <v>197040965.55206808</v>
      </c>
      <c r="AI89" s="88"/>
      <c r="AJ89" s="88"/>
      <c r="AK89" s="88"/>
      <c r="AL89" s="88"/>
      <c r="AM89" s="106"/>
      <c r="AN89" s="745"/>
      <c r="AO89" s="251"/>
      <c r="AP89" s="251"/>
      <c r="AQ89" s="251"/>
      <c r="AR89" s="251"/>
      <c r="AS89" s="252"/>
    </row>
    <row r="90" spans="18:45" x14ac:dyDescent="0.3">
      <c r="AD90" s="960">
        <f t="shared" si="30"/>
        <v>2032</v>
      </c>
      <c r="AE90" s="691">
        <f t="shared" si="31"/>
        <v>8078679587.6347904</v>
      </c>
      <c r="AF90" s="963">
        <f t="shared" si="28"/>
        <v>2.5000000000000001E-2</v>
      </c>
      <c r="AG90" s="691">
        <f t="shared" si="29"/>
        <v>201966989.69086978</v>
      </c>
      <c r="AI90" s="88"/>
      <c r="AJ90" s="88"/>
      <c r="AK90" s="88"/>
      <c r="AL90" s="88"/>
      <c r="AN90" s="999" t="s">
        <v>1355</v>
      </c>
      <c r="AO90" s="252"/>
      <c r="AP90" s="252"/>
      <c r="AQ90" s="252"/>
      <c r="AR90" s="252"/>
      <c r="AS90" s="252"/>
    </row>
    <row r="91" spans="18:45" x14ac:dyDescent="0.3">
      <c r="AD91" s="960">
        <f t="shared" si="30"/>
        <v>2033</v>
      </c>
      <c r="AE91" s="691">
        <f t="shared" si="31"/>
        <v>8280646577.3256598</v>
      </c>
      <c r="AF91" s="963">
        <f t="shared" si="28"/>
        <v>2.5000000000000001E-2</v>
      </c>
      <c r="AG91" s="691">
        <f t="shared" si="29"/>
        <v>207016164.4331415</v>
      </c>
      <c r="AI91" s="88"/>
      <c r="AJ91" s="88"/>
      <c r="AK91" s="88"/>
      <c r="AL91" s="88"/>
      <c r="AO91" s="252"/>
      <c r="AP91" s="252"/>
      <c r="AQ91" s="252"/>
      <c r="AR91" s="252"/>
      <c r="AS91" s="252"/>
    </row>
    <row r="92" spans="18:45" x14ac:dyDescent="0.3">
      <c r="AD92" s="960">
        <f t="shared" si="30"/>
        <v>2034</v>
      </c>
      <c r="AE92" s="691">
        <f t="shared" si="31"/>
        <v>8487662741.7588015</v>
      </c>
      <c r="AF92" s="963">
        <f t="shared" si="28"/>
        <v>2.5000000000000001E-2</v>
      </c>
      <c r="AG92" s="691">
        <f t="shared" si="29"/>
        <v>212191568.54397005</v>
      </c>
      <c r="AI92" s="88"/>
      <c r="AJ92" s="88"/>
      <c r="AK92" s="88"/>
      <c r="AL92" s="252"/>
      <c r="AO92" s="252"/>
      <c r="AP92" s="252"/>
      <c r="AQ92" s="252"/>
      <c r="AR92" s="252"/>
      <c r="AS92" s="252"/>
    </row>
    <row r="93" spans="18:45" x14ac:dyDescent="0.3">
      <c r="AD93" s="960">
        <f t="shared" si="30"/>
        <v>2035</v>
      </c>
      <c r="AE93" s="691">
        <f t="shared" si="31"/>
        <v>8699854310.3027706</v>
      </c>
      <c r="AF93" s="963">
        <f t="shared" si="28"/>
        <v>2.5000000000000001E-2</v>
      </c>
      <c r="AG93" s="691">
        <f t="shared" si="29"/>
        <v>217496357.75756928</v>
      </c>
      <c r="AO93" s="252"/>
      <c r="AP93" s="252"/>
      <c r="AQ93" s="252"/>
      <c r="AR93" s="252"/>
      <c r="AS93" s="252"/>
    </row>
    <row r="94" spans="18:45" x14ac:dyDescent="0.3">
      <c r="AD94" s="960">
        <f t="shared" si="30"/>
        <v>2036</v>
      </c>
      <c r="AE94" s="691">
        <f t="shared" si="31"/>
        <v>8917350668.060339</v>
      </c>
      <c r="AF94" s="963">
        <f t="shared" si="28"/>
        <v>2.5000000000000001E-2</v>
      </c>
      <c r="AG94" s="691">
        <f t="shared" si="29"/>
        <v>222933766.70150849</v>
      </c>
      <c r="AO94" s="252"/>
      <c r="AP94" s="252"/>
      <c r="AQ94" s="252"/>
      <c r="AR94" s="252"/>
      <c r="AS94" s="252"/>
    </row>
    <row r="95" spans="18:45" x14ac:dyDescent="0.3">
      <c r="AD95" s="960">
        <f t="shared" si="30"/>
        <v>2037</v>
      </c>
      <c r="AE95" s="691">
        <f t="shared" si="31"/>
        <v>9140284434.7618465</v>
      </c>
      <c r="AF95" s="963">
        <f t="shared" si="28"/>
        <v>2.5000000000000001E-2</v>
      </c>
      <c r="AG95" s="691">
        <f t="shared" si="29"/>
        <v>228507110.86904618</v>
      </c>
      <c r="AO95" s="252"/>
      <c r="AP95" s="252"/>
      <c r="AQ95" s="252"/>
      <c r="AR95" s="252"/>
      <c r="AS95" s="252"/>
    </row>
    <row r="96" spans="18:45" x14ac:dyDescent="0.3">
      <c r="AD96" s="960">
        <f t="shared" si="30"/>
        <v>2038</v>
      </c>
      <c r="AE96" s="691">
        <f t="shared" si="31"/>
        <v>9368791545.6308918</v>
      </c>
      <c r="AF96" s="963">
        <f t="shared" si="28"/>
        <v>2.5000000000000001E-2</v>
      </c>
      <c r="AG96" s="691">
        <f t="shared" si="29"/>
        <v>234219788.64077231</v>
      </c>
      <c r="AO96" s="252"/>
      <c r="AP96" s="252"/>
      <c r="AQ96" s="252"/>
      <c r="AR96" s="252"/>
      <c r="AS96" s="252"/>
    </row>
    <row r="97" spans="30:45" x14ac:dyDescent="0.3">
      <c r="AD97" s="960">
        <f t="shared" si="30"/>
        <v>2039</v>
      </c>
      <c r="AE97" s="691">
        <f t="shared" si="31"/>
        <v>9603011334.2716637</v>
      </c>
      <c r="AF97" s="963">
        <f t="shared" si="28"/>
        <v>2.5000000000000001E-2</v>
      </c>
      <c r="AG97" s="691">
        <f t="shared" si="29"/>
        <v>240075283.35679162</v>
      </c>
      <c r="AO97" s="252"/>
      <c r="AP97" s="252"/>
      <c r="AQ97" s="252"/>
      <c r="AR97" s="252"/>
      <c r="AS97" s="252"/>
    </row>
    <row r="98" spans="30:45" x14ac:dyDescent="0.3">
      <c r="AD98" s="960">
        <f t="shared" si="30"/>
        <v>2040</v>
      </c>
      <c r="AE98" s="691">
        <f t="shared" si="31"/>
        <v>9843086617.6284561</v>
      </c>
      <c r="AF98" s="963">
        <f t="shared" si="28"/>
        <v>2.5000000000000001E-2</v>
      </c>
      <c r="AG98" s="691">
        <f t="shared" si="29"/>
        <v>246077165.44071141</v>
      </c>
    </row>
    <row r="99" spans="30:45" x14ac:dyDescent="0.3">
      <c r="AD99" s="960">
        <f t="shared" si="30"/>
        <v>2041</v>
      </c>
      <c r="AE99" s="691">
        <f t="shared" si="31"/>
        <v>10089163783.069168</v>
      </c>
      <c r="AF99" s="963">
        <f t="shared" si="28"/>
        <v>2.5000000000000001E-2</v>
      </c>
      <c r="AG99" s="691">
        <f t="shared" si="29"/>
        <v>252229094.57672921</v>
      </c>
    </row>
    <row r="100" spans="30:45" x14ac:dyDescent="0.3">
      <c r="AD100" s="960">
        <f t="shared" si="30"/>
        <v>2042</v>
      </c>
      <c r="AE100" s="691">
        <f t="shared" si="31"/>
        <v>10341392877.645897</v>
      </c>
      <c r="AF100" s="963">
        <f t="shared" si="28"/>
        <v>2.5000000000000001E-2</v>
      </c>
      <c r="AG100" s="691">
        <f t="shared" si="29"/>
        <v>258534821.94114745</v>
      </c>
    </row>
    <row r="101" spans="30:45" x14ac:dyDescent="0.3">
      <c r="AD101" s="960">
        <f t="shared" si="30"/>
        <v>2043</v>
      </c>
      <c r="AE101" s="691">
        <f t="shared" si="31"/>
        <v>10599927699.587044</v>
      </c>
      <c r="AF101" s="963">
        <f t="shared" si="28"/>
        <v>2.5000000000000001E-2</v>
      </c>
      <c r="AG101" s="691">
        <f t="shared" si="29"/>
        <v>264998192.48967612</v>
      </c>
    </row>
    <row r="102" spans="30:45" x14ac:dyDescent="0.3">
      <c r="AD102" s="960">
        <f t="shared" si="30"/>
        <v>2044</v>
      </c>
      <c r="AE102" s="691">
        <f t="shared" si="31"/>
        <v>10864925892.076719</v>
      </c>
      <c r="AF102" s="963">
        <f t="shared" si="28"/>
        <v>2.5000000000000001E-2</v>
      </c>
      <c r="AG102" s="691">
        <f t="shared" si="29"/>
        <v>271623147.30191797</v>
      </c>
    </row>
    <row r="103" spans="30:45" x14ac:dyDescent="0.3">
      <c r="AD103" s="960">
        <f t="shared" si="30"/>
        <v>2045</v>
      </c>
      <c r="AE103" s="691">
        <f t="shared" si="31"/>
        <v>11136549039.378637</v>
      </c>
      <c r="AF103" s="963">
        <f t="shared" si="28"/>
        <v>2.5000000000000001E-2</v>
      </c>
      <c r="AG103" s="691">
        <f t="shared" si="29"/>
        <v>278413725.98446596</v>
      </c>
    </row>
    <row r="104" spans="30:45" x14ac:dyDescent="0.3">
      <c r="AD104" s="960">
        <f t="shared" si="30"/>
        <v>2046</v>
      </c>
      <c r="AE104" s="691">
        <f t="shared" si="31"/>
        <v>11414962765.363104</v>
      </c>
      <c r="AF104" s="963">
        <f t="shared" si="28"/>
        <v>2.5000000000000001E-2</v>
      </c>
      <c r="AG104" s="691">
        <f t="shared" si="29"/>
        <v>285374069.13407761</v>
      </c>
    </row>
    <row r="105" spans="30:45" x14ac:dyDescent="0.3">
      <c r="AD105" s="960">
        <f t="shared" si="30"/>
        <v>2047</v>
      </c>
      <c r="AE105" s="691">
        <f t="shared" si="31"/>
        <v>11700336834.497181</v>
      </c>
      <c r="AF105" s="963">
        <f t="shared" si="28"/>
        <v>2.5000000000000001E-2</v>
      </c>
      <c r="AG105" s="691">
        <f t="shared" si="29"/>
        <v>292508420.86242956</v>
      </c>
    </row>
    <row r="106" spans="30:45" x14ac:dyDescent="0.3">
      <c r="AD106" s="960">
        <f t="shared" si="30"/>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58737-0425-4AB0-A2F5-924FCBB98C51}">
  <dimension ref="B2:Q25"/>
  <sheetViews>
    <sheetView workbookViewId="0">
      <selection activeCell="G16" sqref="G16:H18"/>
    </sheetView>
  </sheetViews>
  <sheetFormatPr defaultRowHeight="15.6" x14ac:dyDescent="0.3"/>
  <cols>
    <col min="1" max="1" width="8.88671875" style="1"/>
    <col min="2" max="2" width="8.88671875" style="76"/>
    <col min="3" max="3" width="8.88671875" style="1"/>
    <col min="4" max="4" width="16.33203125" style="938" bestFit="1" customWidth="1"/>
    <col min="5" max="5" width="27.21875" style="1127" customWidth="1"/>
    <col min="6" max="6" width="8.88671875" style="1"/>
    <col min="7" max="7" width="30.21875" style="1" customWidth="1"/>
    <col min="8" max="8" width="27.33203125" style="1" customWidth="1"/>
    <col min="9" max="16384" width="8.88671875" style="1"/>
  </cols>
  <sheetData>
    <row r="2" spans="2:17" s="76" customFormat="1" ht="26.4" x14ac:dyDescent="0.6">
      <c r="B2" s="1227" t="s">
        <v>1478</v>
      </c>
      <c r="C2" s="1228"/>
      <c r="D2" s="1229"/>
      <c r="E2" s="1230"/>
      <c r="F2" s="1227"/>
      <c r="G2" s="1227" t="s">
        <v>1479</v>
      </c>
      <c r="I2" s="1227" t="s">
        <v>1480</v>
      </c>
      <c r="K2" s="1228"/>
      <c r="L2" s="1229"/>
      <c r="N2" s="1227" t="s">
        <v>1481</v>
      </c>
      <c r="Q2" s="1227"/>
    </row>
    <row r="4" spans="2:17" x14ac:dyDescent="0.3">
      <c r="D4" s="1249" t="s">
        <v>315</v>
      </c>
      <c r="E4" s="1060" t="s">
        <v>1488</v>
      </c>
    </row>
    <row r="5" spans="2:17" x14ac:dyDescent="0.3">
      <c r="D5" s="1250" t="s">
        <v>1489</v>
      </c>
      <c r="E5" s="1251" t="s">
        <v>1490</v>
      </c>
    </row>
    <row r="6" spans="2:17" x14ac:dyDescent="0.3">
      <c r="D6" s="1111">
        <v>2024</v>
      </c>
      <c r="E6" s="1231">
        <f>'2024 - ŔÉŚ 1 SPIN-8 Tax 95% '!AN79</f>
        <v>0</v>
      </c>
      <c r="G6" s="1" t="s">
        <v>1482</v>
      </c>
    </row>
    <row r="7" spans="2:17" x14ac:dyDescent="0.3">
      <c r="D7" s="1232">
        <f>D6+1</f>
        <v>2025</v>
      </c>
      <c r="E7" s="1233">
        <f>'2025 - ŔÉŚ 2 The GDP Game'!AN79</f>
        <v>0</v>
      </c>
      <c r="G7" s="1" t="s">
        <v>1483</v>
      </c>
    </row>
    <row r="8" spans="2:17" x14ac:dyDescent="0.3">
      <c r="D8" s="1114">
        <f t="shared" ref="D8:D21" si="0">D7+1</f>
        <v>2026</v>
      </c>
      <c r="E8" s="1129">
        <f>'2026 - ŔÉŚ 3 S-World VS and VSN'!AN79</f>
        <v>277781990.70087653</v>
      </c>
    </row>
    <row r="9" spans="2:17" x14ac:dyDescent="0.3">
      <c r="D9" s="1232">
        <f t="shared" si="0"/>
        <v>2027</v>
      </c>
      <c r="E9" s="1233">
        <f>'2027 - ŔÉŚ 4 Éfficiency to 92'!AN79</f>
        <v>366657866.11967963</v>
      </c>
    </row>
    <row r="10" spans="2:17" x14ac:dyDescent="0.3">
      <c r="D10" s="1114">
        <f t="shared" si="0"/>
        <v>2028</v>
      </c>
      <c r="E10" s="1129">
        <f>'2027 - ŔÉŚ 4 Éfficiency to 92'!AN79</f>
        <v>366657866.11967963</v>
      </c>
    </row>
    <row r="11" spans="2:17" x14ac:dyDescent="0.3">
      <c r="D11" s="1232">
        <f t="shared" si="0"/>
        <v>2029</v>
      </c>
      <c r="E11" s="1233">
        <f>'2029 - ŔÉŚ 6. Malawi Income '!AV79</f>
        <v>7995184601.7226601</v>
      </c>
    </row>
    <row r="12" spans="2:17" x14ac:dyDescent="0.3">
      <c r="D12" s="1114">
        <f t="shared" si="0"/>
        <v>2030</v>
      </c>
      <c r="E12" s="1129">
        <f>'2030 - ŔÉŚ 7. É-94 Śpin-12'!BD79</f>
        <v>5377681690.8210793</v>
      </c>
    </row>
    <row r="13" spans="2:17" x14ac:dyDescent="0.3">
      <c r="D13" s="1232">
        <f t="shared" si="0"/>
        <v>2031</v>
      </c>
      <c r="E13" s="1233">
        <f>'2031 - ŔÉŚ 8. É95%'!BD79</f>
        <v>6974623936.6202688</v>
      </c>
    </row>
    <row r="14" spans="2:17" x14ac:dyDescent="0.3">
      <c r="D14" s="1114">
        <f t="shared" si="0"/>
        <v>2032</v>
      </c>
      <c r="E14" s="1129">
        <f>'2032 - ŔÉŚ 9. Ś-16'!BT79</f>
        <v>9620194524.6383286</v>
      </c>
    </row>
    <row r="15" spans="2:17" x14ac:dyDescent="0.3">
      <c r="D15" s="1232">
        <f t="shared" si="0"/>
        <v>2033</v>
      </c>
      <c r="E15" s="1233">
        <f>'2033 - ŔÉŚ 10. É97%'!BT79</f>
        <v>11467423550.51936</v>
      </c>
    </row>
    <row r="16" spans="2:17" x14ac:dyDescent="0.3">
      <c r="D16" s="1114">
        <f t="shared" si="0"/>
        <v>2034</v>
      </c>
      <c r="E16" s="1129">
        <f>'2034 - ŔÉŚ 11. É98%'!BT79</f>
        <v>14537338066.647736</v>
      </c>
    </row>
    <row r="17" spans="4:8" x14ac:dyDescent="0.3">
      <c r="D17" s="1232">
        <f t="shared" si="0"/>
        <v>2035</v>
      </c>
      <c r="E17" s="1233">
        <f>'2034 - ŔÉŚ 11. É98%'!BT79</f>
        <v>14537338066.647736</v>
      </c>
    </row>
    <row r="18" spans="4:8" x14ac:dyDescent="0.3">
      <c r="D18" s="1114">
        <f t="shared" si="0"/>
        <v>2036</v>
      </c>
      <c r="E18" s="1129">
        <f>'2036 - ŔÉŚ 13. É100% '!BT79</f>
        <v>18839763586.265202</v>
      </c>
    </row>
    <row r="19" spans="4:8" x14ac:dyDescent="0.3">
      <c r="D19" s="1232">
        <f t="shared" si="0"/>
        <v>2037</v>
      </c>
      <c r="E19" s="1233">
        <f>'2037 - ŔÉŚ 14. Śpin 24'!CZ79</f>
        <v>26505361592.211906</v>
      </c>
    </row>
    <row r="20" spans="4:8" x14ac:dyDescent="0.3">
      <c r="D20" s="1114">
        <f t="shared" si="0"/>
        <v>2038</v>
      </c>
      <c r="E20" s="1129">
        <f>'2038 - ŔÉŚ 15. Increase in Ŕ'!CZ79</f>
        <v>33914672881.84026</v>
      </c>
    </row>
    <row r="21" spans="4:8" x14ac:dyDescent="0.3">
      <c r="D21" s="1232">
        <f t="shared" si="0"/>
        <v>2039</v>
      </c>
      <c r="E21" s="1233">
        <f>'2039 - ŔÉŚ 16. Increase Ŕ2'!CZ79</f>
        <v>41807616610.098297</v>
      </c>
    </row>
    <row r="22" spans="4:8" x14ac:dyDescent="0.3">
      <c r="D22" s="1114"/>
      <c r="E22" s="1129"/>
    </row>
    <row r="23" spans="4:8" ht="16.2" thickBot="1" x14ac:dyDescent="0.35">
      <c r="D23" s="1234"/>
      <c r="E23" s="1235">
        <f>SUM(E6:E22)</f>
        <v>192588296830.97308</v>
      </c>
      <c r="G23" s="1236" t="s">
        <v>1479</v>
      </c>
      <c r="H23" s="1237">
        <f>E23</f>
        <v>192588296830.97308</v>
      </c>
    </row>
    <row r="24" spans="4:8" x14ac:dyDescent="0.3">
      <c r="D24" s="1116"/>
      <c r="E24" s="1238"/>
      <c r="G24" s="1239" t="s">
        <v>1484</v>
      </c>
      <c r="H24" s="1240">
        <f>'Gigafactory Projects Funding'!H22</f>
        <v>193306361198.64413</v>
      </c>
    </row>
    <row r="25" spans="4:8" x14ac:dyDescent="0.3">
      <c r="G25" s="179" t="s">
        <v>1485</v>
      </c>
      <c r="H25" s="303">
        <f>'Tesla M-Series Funding'!H22</f>
        <v>194663225963.043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704-99CC-4E89-A94C-97E8942CB99A}">
  <dimension ref="B2:S23"/>
  <sheetViews>
    <sheetView workbookViewId="0">
      <selection activeCell="H24" sqref="H24"/>
    </sheetView>
  </sheetViews>
  <sheetFormatPr defaultRowHeight="15.6" x14ac:dyDescent="0.3"/>
  <cols>
    <col min="1" max="1" width="8.88671875" style="1"/>
    <col min="2" max="2" width="8.88671875" style="873"/>
    <col min="3" max="3" width="8.88671875" style="1"/>
    <col min="4" max="4" width="16.33203125" style="938" bestFit="1" customWidth="1"/>
    <col min="5" max="5" width="21.44140625" style="1127" bestFit="1" customWidth="1"/>
    <col min="6" max="6" width="8.88671875" style="1"/>
    <col min="7" max="7" width="28.77734375" style="1" bestFit="1" customWidth="1"/>
    <col min="8" max="8" width="21.44140625" style="1" bestFit="1" customWidth="1"/>
    <col min="9" max="16384" width="8.88671875" style="1"/>
  </cols>
  <sheetData>
    <row r="2" spans="2:19" s="873" customFormat="1" ht="26.4" x14ac:dyDescent="0.6">
      <c r="B2" s="1241" t="s">
        <v>1486</v>
      </c>
      <c r="C2" s="1242"/>
      <c r="D2" s="1243"/>
      <c r="E2" s="1244"/>
      <c r="G2" s="1241" t="s">
        <v>1487</v>
      </c>
      <c r="I2" s="1241" t="s">
        <v>1481</v>
      </c>
      <c r="K2" s="1241"/>
      <c r="M2" s="1241" t="s">
        <v>1089</v>
      </c>
      <c r="S2" s="1241" t="s">
        <v>1029</v>
      </c>
    </row>
    <row r="5" spans="2:19" x14ac:dyDescent="0.3">
      <c r="D5" s="1111">
        <v>2024</v>
      </c>
      <c r="E5" s="1231">
        <f>'2024 - ŔÉŚ 1 SPIN-8 Tax 95% '!AN78</f>
        <v>671265776.77145422</v>
      </c>
    </row>
    <row r="6" spans="2:19" x14ac:dyDescent="0.3">
      <c r="D6" s="1232">
        <f>D5+1</f>
        <v>2025</v>
      </c>
      <c r="E6" s="1233">
        <f>'2025 - ŔÉŚ 2 The GDP Game'!AN78</f>
        <v>0</v>
      </c>
    </row>
    <row r="7" spans="2:19" x14ac:dyDescent="0.3">
      <c r="D7" s="1114">
        <f t="shared" ref="D7:D20" si="0">D6+1</f>
        <v>2026</v>
      </c>
      <c r="E7" s="1129">
        <f>'2026 - ŔÉŚ 3 S-World VS and VSN'!AN78</f>
        <v>1388909953.5043828</v>
      </c>
    </row>
    <row r="8" spans="2:19" x14ac:dyDescent="0.3">
      <c r="D8" s="1232">
        <f t="shared" si="0"/>
        <v>2027</v>
      </c>
      <c r="E8" s="1233">
        <f>'2027 - ŔÉŚ 4 Éfficiency to 92'!AN78</f>
        <v>1833289330.5983982</v>
      </c>
    </row>
    <row r="9" spans="2:19" x14ac:dyDescent="0.3">
      <c r="D9" s="1114">
        <f t="shared" si="0"/>
        <v>2028</v>
      </c>
      <c r="E9" s="1129">
        <f>'2027 - ŔÉŚ 4 Éfficiency to 92'!AN78</f>
        <v>1833289330.5983982</v>
      </c>
    </row>
    <row r="10" spans="2:19" x14ac:dyDescent="0.3">
      <c r="D10" s="1232">
        <f t="shared" si="0"/>
        <v>2029</v>
      </c>
      <c r="E10" s="1233">
        <f>'2029 - ŔÉŚ 6. Malawi Income '!AV78</f>
        <v>3997592300.86133</v>
      </c>
    </row>
    <row r="11" spans="2:19" x14ac:dyDescent="0.3">
      <c r="D11" s="1114">
        <f t="shared" si="0"/>
        <v>2030</v>
      </c>
      <c r="E11" s="1129">
        <f>'2030 - ŔÉŚ 7. É-94 Śpin-12'!BD78</f>
        <v>5377681690.8210793</v>
      </c>
    </row>
    <row r="12" spans="2:19" x14ac:dyDescent="0.3">
      <c r="D12" s="1232">
        <f t="shared" si="0"/>
        <v>2031</v>
      </c>
      <c r="E12" s="1233">
        <f>'2031 - ŔÉŚ 8. É95%'!BD78</f>
        <v>6974623936.6202688</v>
      </c>
    </row>
    <row r="13" spans="2:19" x14ac:dyDescent="0.3">
      <c r="D13" s="1114">
        <f t="shared" si="0"/>
        <v>2032</v>
      </c>
      <c r="E13" s="1129">
        <f>'2032 - ŔÉŚ 9. Ś-16'!BT78</f>
        <v>9620194524.6383286</v>
      </c>
    </row>
    <row r="14" spans="2:19" x14ac:dyDescent="0.3">
      <c r="D14" s="1232">
        <f t="shared" si="0"/>
        <v>2033</v>
      </c>
      <c r="E14" s="1233">
        <f>'2033 - ŔÉŚ 10. É97%'!BT78</f>
        <v>11467423550.51936</v>
      </c>
    </row>
    <row r="15" spans="2:19" x14ac:dyDescent="0.3">
      <c r="D15" s="1114">
        <f t="shared" si="0"/>
        <v>2034</v>
      </c>
      <c r="E15" s="1129">
        <f>'2034 - ŔÉŚ 11. É98%'!BT78</f>
        <v>14537338066.647736</v>
      </c>
    </row>
    <row r="16" spans="2:19" x14ac:dyDescent="0.3">
      <c r="D16" s="1232">
        <f t="shared" si="0"/>
        <v>2035</v>
      </c>
      <c r="E16" s="1233">
        <f>'2034 - ŔÉŚ 11. É98%'!BT78</f>
        <v>14537338066.647736</v>
      </c>
    </row>
    <row r="17" spans="4:8" x14ac:dyDescent="0.3">
      <c r="D17" s="1114">
        <f t="shared" si="0"/>
        <v>2036</v>
      </c>
      <c r="E17" s="1129">
        <f>'2036 - ŔÉŚ 13. É100% '!BT78</f>
        <v>18839763586.265202</v>
      </c>
    </row>
    <row r="18" spans="4:8" x14ac:dyDescent="0.3">
      <c r="D18" s="1232">
        <f t="shared" si="0"/>
        <v>2037</v>
      </c>
      <c r="E18" s="1233">
        <f>'2037 - ŔÉŚ 14. Śpin 24'!CZ78</f>
        <v>26505361592.211906</v>
      </c>
    </row>
    <row r="19" spans="4:8" x14ac:dyDescent="0.3">
      <c r="D19" s="1114">
        <f t="shared" si="0"/>
        <v>2038</v>
      </c>
      <c r="E19" s="1129">
        <f>'2038 - ŔÉŚ 15. Increase in Ŕ'!CZ78</f>
        <v>33914672881.84026</v>
      </c>
    </row>
    <row r="20" spans="4:8" x14ac:dyDescent="0.3">
      <c r="D20" s="1232">
        <f t="shared" si="0"/>
        <v>2039</v>
      </c>
      <c r="E20" s="1233">
        <f>'2039 - ŔÉŚ 16. Increase Ŕ2'!CZ78</f>
        <v>41807616610.098297</v>
      </c>
    </row>
    <row r="21" spans="4:8" x14ac:dyDescent="0.3">
      <c r="D21" s="1114"/>
      <c r="E21" s="1129"/>
      <c r="G21" s="1236" t="s">
        <v>1479</v>
      </c>
      <c r="H21" s="1237">
        <f>'Desalination Projects Funding'!E23</f>
        <v>192588296830.97308</v>
      </c>
    </row>
    <row r="22" spans="4:8" ht="16.2" thickBot="1" x14ac:dyDescent="0.35">
      <c r="D22" s="1246" t="s">
        <v>1061</v>
      </c>
      <c r="E22" s="1245">
        <f>SUM(E5:E21)</f>
        <v>193306361198.64413</v>
      </c>
      <c r="G22" s="1239" t="s">
        <v>1484</v>
      </c>
      <c r="H22" s="1240">
        <f>E22</f>
        <v>193306361198.64413</v>
      </c>
    </row>
    <row r="23" spans="4:8" x14ac:dyDescent="0.3">
      <c r="D23" s="1116"/>
      <c r="E23" s="1238"/>
      <c r="G23" s="179" t="s">
        <v>1485</v>
      </c>
      <c r="H23" s="303">
        <f>'Tesla M-Series Funding'!E22</f>
        <v>194663225963.043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D53C-9043-42A3-8891-8B2C6609F2A5}">
  <dimension ref="B2:S23"/>
  <sheetViews>
    <sheetView workbookViewId="0">
      <selection activeCell="H22" sqref="H22"/>
    </sheetView>
  </sheetViews>
  <sheetFormatPr defaultRowHeight="15.6" x14ac:dyDescent="0.3"/>
  <cols>
    <col min="1" max="1" width="8.88671875" style="1"/>
    <col min="2" max="2" width="8.88671875" style="76"/>
    <col min="3" max="3" width="8.88671875" style="1"/>
    <col min="4" max="4" width="16.33203125" style="938" bestFit="1" customWidth="1"/>
    <col min="5" max="5" width="21.44140625" style="1127" bestFit="1" customWidth="1"/>
    <col min="6" max="6" width="8.88671875" style="1"/>
    <col min="7" max="7" width="31.109375" style="1" customWidth="1"/>
    <col min="8" max="8" width="25.6640625" style="1" customWidth="1"/>
    <col min="9" max="16384" width="8.88671875" style="1"/>
  </cols>
  <sheetData>
    <row r="2" spans="2:19" s="76" customFormat="1" ht="26.4" x14ac:dyDescent="0.6">
      <c r="B2" s="1227" t="s">
        <v>1486</v>
      </c>
      <c r="C2" s="1228"/>
      <c r="D2" s="1229"/>
      <c r="E2" s="1230"/>
      <c r="F2" s="1227" t="s">
        <v>1485</v>
      </c>
      <c r="H2" s="1227" t="s">
        <v>1481</v>
      </c>
      <c r="I2" s="1227"/>
      <c r="J2" s="1227" t="s">
        <v>1089</v>
      </c>
      <c r="N2" s="1227"/>
      <c r="O2" s="1227" t="s">
        <v>1029</v>
      </c>
      <c r="S2" s="1227"/>
    </row>
    <row r="5" spans="2:19" x14ac:dyDescent="0.3">
      <c r="D5" s="1111">
        <v>2024</v>
      </c>
      <c r="E5" s="1231">
        <f>'2024 - ŔÉŚ 1 SPIN-8 Tax 95% '!AN77</f>
        <v>1118776294.6190906</v>
      </c>
    </row>
    <row r="6" spans="2:19" x14ac:dyDescent="0.3">
      <c r="D6" s="1232">
        <f>D5+1</f>
        <v>2025</v>
      </c>
      <c r="E6" s="1233">
        <f>'2025 - ŔÉŚ 2 The GDP Game'!AN77</f>
        <v>909354246.55122113</v>
      </c>
    </row>
    <row r="7" spans="2:19" x14ac:dyDescent="0.3">
      <c r="D7" s="1114">
        <f t="shared" ref="D7:D20" si="0">D6+1</f>
        <v>2026</v>
      </c>
      <c r="E7" s="1129">
        <f>'2026 - ŔÉŚ 3 S-World VS and VSN'!AN77</f>
        <v>1388909953.5043828</v>
      </c>
    </row>
    <row r="8" spans="2:19" x14ac:dyDescent="0.3">
      <c r="D8" s="1232">
        <f t="shared" si="0"/>
        <v>2027</v>
      </c>
      <c r="E8" s="1233">
        <f>'2027 - ŔÉŚ 4 Éfficiency to 92'!AN77</f>
        <v>1833289330.5983982</v>
      </c>
    </row>
    <row r="9" spans="2:19" x14ac:dyDescent="0.3">
      <c r="D9" s="1114">
        <f t="shared" si="0"/>
        <v>2028</v>
      </c>
      <c r="E9" s="1129">
        <f>'2027 - ŔÉŚ 4 Éfficiency to 92'!AN77</f>
        <v>1833289330.5983982</v>
      </c>
    </row>
    <row r="10" spans="2:19" x14ac:dyDescent="0.3">
      <c r="D10" s="1232">
        <f t="shared" si="0"/>
        <v>2029</v>
      </c>
      <c r="E10" s="1233">
        <f>'2029 - ŔÉŚ 6. Malawi Income '!AV77</f>
        <v>3997592300.86133</v>
      </c>
    </row>
    <row r="11" spans="2:19" x14ac:dyDescent="0.3">
      <c r="D11" s="1114">
        <f t="shared" si="0"/>
        <v>2030</v>
      </c>
      <c r="E11" s="1129">
        <f>'2030 - ŔÉŚ 7. É-94 Śpin-12'!BD77</f>
        <v>5377681690.8210793</v>
      </c>
    </row>
    <row r="12" spans="2:19" x14ac:dyDescent="0.3">
      <c r="D12" s="1232">
        <f t="shared" si="0"/>
        <v>2031</v>
      </c>
      <c r="E12" s="1233">
        <f>'2031 - ŔÉŚ 8. É95%'!BD77</f>
        <v>6974623936.6202688</v>
      </c>
    </row>
    <row r="13" spans="2:19" x14ac:dyDescent="0.3">
      <c r="D13" s="1114">
        <f t="shared" si="0"/>
        <v>2032</v>
      </c>
      <c r="E13" s="1129">
        <f>'2032 - ŔÉŚ 9. Ś-16'!BT77</f>
        <v>9620194524.6383286</v>
      </c>
    </row>
    <row r="14" spans="2:19" x14ac:dyDescent="0.3">
      <c r="D14" s="1232">
        <f t="shared" si="0"/>
        <v>2033</v>
      </c>
      <c r="E14" s="1233">
        <f>'2033 - ŔÉŚ 10. É97%'!BT77</f>
        <v>11467423550.51936</v>
      </c>
    </row>
    <row r="15" spans="2:19" x14ac:dyDescent="0.3">
      <c r="D15" s="1114">
        <f t="shared" si="0"/>
        <v>2034</v>
      </c>
      <c r="E15" s="1129">
        <f>'2034 - ŔÉŚ 11. É98%'!BT77</f>
        <v>14537338066.647736</v>
      </c>
    </row>
    <row r="16" spans="2:19" x14ac:dyDescent="0.3">
      <c r="D16" s="1232">
        <f t="shared" si="0"/>
        <v>2035</v>
      </c>
      <c r="E16" s="1233">
        <f>'2034 - ŔÉŚ 11. É98%'!BT77</f>
        <v>14537338066.647736</v>
      </c>
    </row>
    <row r="17" spans="4:8" x14ac:dyDescent="0.3">
      <c r="D17" s="1114">
        <f t="shared" si="0"/>
        <v>2036</v>
      </c>
      <c r="E17" s="1129">
        <f>'2036 - ŔÉŚ 13. É100% '!BT77</f>
        <v>18839763586.265202</v>
      </c>
    </row>
    <row r="18" spans="4:8" x14ac:dyDescent="0.3">
      <c r="D18" s="1232">
        <f t="shared" si="0"/>
        <v>2037</v>
      </c>
      <c r="E18" s="1233">
        <f>'2037 - ŔÉŚ 14. Śpin 24'!CZ77</f>
        <v>26505361592.211906</v>
      </c>
    </row>
    <row r="19" spans="4:8" x14ac:dyDescent="0.3">
      <c r="D19" s="1114">
        <f t="shared" si="0"/>
        <v>2038</v>
      </c>
      <c r="E19" s="1129">
        <f>'2038 - ŔÉŚ 15. Increase in Ŕ'!CZ77</f>
        <v>33914672881.84026</v>
      </c>
    </row>
    <row r="20" spans="4:8" x14ac:dyDescent="0.3">
      <c r="D20" s="1232">
        <f t="shared" si="0"/>
        <v>2039</v>
      </c>
      <c r="E20" s="1233">
        <f>'2039 - ŔÉŚ 16. Increase Ŕ2'!CZ77</f>
        <v>41807616610.098297</v>
      </c>
      <c r="G20" s="1236" t="s">
        <v>1479</v>
      </c>
      <c r="H20" s="1237">
        <f>'Desalination Projects Funding'!E23</f>
        <v>192588296830.97308</v>
      </c>
    </row>
    <row r="21" spans="4:8" x14ac:dyDescent="0.3">
      <c r="D21" s="1114"/>
      <c r="E21" s="1129"/>
      <c r="G21" s="1239" t="s">
        <v>1484</v>
      </c>
      <c r="H21" s="1240">
        <f>'Gigafactory Projects Funding'!E22</f>
        <v>193306361198.64413</v>
      </c>
    </row>
    <row r="22" spans="4:8" ht="16.2" thickBot="1" x14ac:dyDescent="0.35">
      <c r="D22" s="1247" t="s">
        <v>1061</v>
      </c>
      <c r="E22" s="1248">
        <f>SUM(E5:E21)</f>
        <v>194663225963.043</v>
      </c>
      <c r="G22" s="179" t="s">
        <v>1485</v>
      </c>
      <c r="H22" s="303">
        <f>E22</f>
        <v>194663225963.043</v>
      </c>
    </row>
    <row r="23" spans="4:8" x14ac:dyDescent="0.3">
      <c r="D23" s="1116"/>
      <c r="E23" s="123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5C2C8-72E7-433E-9332-502CEFA0F332}">
  <dimension ref="B2:BW38"/>
  <sheetViews>
    <sheetView topLeftCell="N14" workbookViewId="0">
      <selection activeCell="S37" sqref="S37"/>
    </sheetView>
  </sheetViews>
  <sheetFormatPr defaultRowHeight="15.6" x14ac:dyDescent="0.3"/>
  <cols>
    <col min="1" max="10" width="8.88671875" style="938"/>
    <col min="11" max="11" width="11.44140625" style="947" customWidth="1"/>
    <col min="12" max="12" width="34.5546875" style="938" customWidth="1"/>
    <col min="13" max="16" width="8.88671875" style="938"/>
    <col min="17" max="17" width="21.109375" style="938" customWidth="1"/>
    <col min="18" max="18" width="17.44140625" style="938" bestFit="1" customWidth="1"/>
    <col min="19" max="19" width="24.109375" style="938" customWidth="1"/>
    <col min="20" max="20" width="18.44140625" style="947" bestFit="1" customWidth="1"/>
    <col min="21" max="23" width="8.88671875" style="938"/>
    <col min="24" max="24" width="21.5546875" style="938" bestFit="1" customWidth="1"/>
    <col min="25" max="25" width="17.44140625" style="938" bestFit="1" customWidth="1"/>
    <col min="26" max="26" width="19.109375" style="938" bestFit="1" customWidth="1"/>
    <col min="27" max="27" width="8.88671875" style="938"/>
    <col min="28" max="28" width="6" style="938" bestFit="1" customWidth="1"/>
    <col min="29" max="29" width="11.21875" style="42" bestFit="1" customWidth="1"/>
    <col min="30" max="30" width="9.5546875" style="42" bestFit="1" customWidth="1"/>
    <col min="31" max="31" width="19.109375" style="938" bestFit="1" customWidth="1"/>
    <col min="32" max="32" width="21.44140625" style="938" bestFit="1" customWidth="1"/>
    <col min="33" max="16384" width="8.88671875" style="938"/>
  </cols>
  <sheetData>
    <row r="2" spans="2:75" s="961" customFormat="1" ht="27.6" x14ac:dyDescent="0.65">
      <c r="C2" s="1097" t="s">
        <v>1366</v>
      </c>
      <c r="D2" s="953"/>
      <c r="E2" s="953"/>
      <c r="F2" s="1098"/>
      <c r="G2" s="1099"/>
      <c r="H2" s="953"/>
      <c r="I2" s="1100"/>
      <c r="K2" s="1109"/>
      <c r="L2" s="1099" t="s">
        <v>740</v>
      </c>
      <c r="M2" s="953"/>
      <c r="P2" s="1109" t="s">
        <v>1426</v>
      </c>
      <c r="Q2" s="1101"/>
      <c r="T2" s="998"/>
      <c r="U2" s="1101" t="s">
        <v>1304</v>
      </c>
      <c r="W2" s="1101"/>
      <c r="AA2" s="1102"/>
      <c r="AC2" s="1143"/>
      <c r="AD2" s="1143"/>
      <c r="BG2" s="998"/>
      <c r="BK2" s="998"/>
      <c r="BW2" s="998"/>
    </row>
    <row r="3" spans="2:75" x14ac:dyDescent="0.3">
      <c r="AC3" s="288" t="s">
        <v>1421</v>
      </c>
      <c r="AD3" s="288"/>
      <c r="AE3" s="947"/>
    </row>
    <row r="4" spans="2:75" x14ac:dyDescent="0.3">
      <c r="B4" s="938" t="s">
        <v>1388</v>
      </c>
      <c r="K4" s="947" t="s">
        <v>1158</v>
      </c>
      <c r="AC4" s="288" t="s">
        <v>1422</v>
      </c>
      <c r="AD4" s="288"/>
      <c r="AE4" s="947"/>
    </row>
    <row r="5" spans="2:75" x14ac:dyDescent="0.3">
      <c r="K5" s="947" t="s">
        <v>1390</v>
      </c>
      <c r="U5" s="938" t="s">
        <v>1427</v>
      </c>
      <c r="Y5" s="938" t="s">
        <v>58</v>
      </c>
      <c r="Z5" s="938" t="s">
        <v>1420</v>
      </c>
      <c r="AC5" s="288" t="s">
        <v>1428</v>
      </c>
      <c r="AD5" s="288" t="s">
        <v>1428</v>
      </c>
      <c r="AE5" s="947" t="s">
        <v>1423</v>
      </c>
      <c r="AF5" s="938" t="s">
        <v>59</v>
      </c>
    </row>
    <row r="6" spans="2:75" ht="36" customHeight="1" x14ac:dyDescent="0.45">
      <c r="C6" s="1103">
        <v>10</v>
      </c>
      <c r="D6" s="1104"/>
      <c r="E6" s="1104"/>
      <c r="F6" s="1103">
        <v>11</v>
      </c>
      <c r="G6" s="1104"/>
      <c r="H6" s="1103">
        <v>12</v>
      </c>
      <c r="I6" s="1104"/>
      <c r="J6" s="1103">
        <v>1</v>
      </c>
      <c r="K6" s="947">
        <v>4</v>
      </c>
      <c r="L6" s="938" t="s">
        <v>1389</v>
      </c>
      <c r="P6" s="1118" t="s">
        <v>1396</v>
      </c>
      <c r="Q6" s="1119">
        <v>247</v>
      </c>
      <c r="R6" s="1120" t="s">
        <v>58</v>
      </c>
      <c r="U6" s="968">
        <v>123.5</v>
      </c>
      <c r="V6" s="968" t="s">
        <v>58</v>
      </c>
      <c r="W6" s="968"/>
      <c r="X6" s="983" t="s">
        <v>1416</v>
      </c>
      <c r="Y6" s="983">
        <f>U8*15%</f>
        <v>7.41</v>
      </c>
      <c r="Z6" s="953">
        <v>24</v>
      </c>
      <c r="AA6" s="953">
        <f>Y6/Z6</f>
        <v>0.30875000000000002</v>
      </c>
      <c r="AB6" s="953" t="s">
        <v>58</v>
      </c>
      <c r="AC6" s="1144">
        <v>43560</v>
      </c>
      <c r="AD6" s="1144">
        <f>AA6*AC6</f>
        <v>13449.150000000001</v>
      </c>
      <c r="AE6" s="1132">
        <v>4000000</v>
      </c>
      <c r="AF6" s="1132">
        <f>Z6*AE6</f>
        <v>96000000</v>
      </c>
    </row>
    <row r="7" spans="2:75" ht="36" customHeight="1" x14ac:dyDescent="0.45">
      <c r="C7" s="1104"/>
      <c r="D7" s="1105">
        <v>10</v>
      </c>
      <c r="E7" s="1106"/>
      <c r="F7" s="1105">
        <v>11</v>
      </c>
      <c r="G7" s="1105">
        <v>12</v>
      </c>
      <c r="H7" s="1106"/>
      <c r="I7" s="1105">
        <v>1</v>
      </c>
      <c r="J7" s="1104"/>
      <c r="K7" s="947">
        <v>4</v>
      </c>
      <c r="N7" s="938" t="s">
        <v>58</v>
      </c>
      <c r="P7" s="1121" t="s">
        <v>1397</v>
      </c>
      <c r="Q7" s="1122">
        <f>Q6/2</f>
        <v>123.5</v>
      </c>
      <c r="R7" s="1123" t="s">
        <v>58</v>
      </c>
      <c r="U7" s="194">
        <v>0.4</v>
      </c>
      <c r="V7" s="968" t="s">
        <v>1429</v>
      </c>
      <c r="W7" s="968"/>
      <c r="X7" s="983" t="s">
        <v>1102</v>
      </c>
      <c r="Y7" s="983">
        <f>U8*10%</f>
        <v>4.9400000000000013</v>
      </c>
      <c r="Z7" s="953">
        <v>1</v>
      </c>
      <c r="AA7" s="953">
        <f t="shared" ref="AA7:AA8" si="0">Y7/Z7</f>
        <v>4.9400000000000013</v>
      </c>
      <c r="AB7" s="953" t="s">
        <v>58</v>
      </c>
      <c r="AC7" s="1144">
        <v>43560</v>
      </c>
      <c r="AD7" s="1144">
        <f t="shared" ref="AD7:AD8" si="1">AA7*AC7</f>
        <v>215186.40000000005</v>
      </c>
      <c r="AE7" s="1132">
        <v>80000000</v>
      </c>
      <c r="AF7" s="1132">
        <f t="shared" ref="AF7:AF8" si="2">Z7*AE7</f>
        <v>80000000</v>
      </c>
    </row>
    <row r="8" spans="2:75" ht="36" customHeight="1" x14ac:dyDescent="0.45">
      <c r="C8" s="1103">
        <v>9</v>
      </c>
      <c r="D8" s="1105">
        <v>9</v>
      </c>
      <c r="E8" s="1107"/>
      <c r="F8" s="1107"/>
      <c r="G8" s="1107"/>
      <c r="H8" s="1107"/>
      <c r="I8" s="1105">
        <v>2</v>
      </c>
      <c r="J8" s="1103">
        <v>2</v>
      </c>
      <c r="K8" s="947">
        <v>4</v>
      </c>
      <c r="L8" s="938" t="s">
        <v>1395</v>
      </c>
      <c r="M8" s="938">
        <f>Q7</f>
        <v>123.5</v>
      </c>
      <c r="N8" s="938" t="s">
        <v>58</v>
      </c>
      <c r="P8" s="1121" t="s">
        <v>1398</v>
      </c>
      <c r="Q8" s="1122">
        <f>Q7/2</f>
        <v>61.75</v>
      </c>
      <c r="R8" s="1123" t="s">
        <v>58</v>
      </c>
      <c r="U8" s="968">
        <f>U6*U7</f>
        <v>49.400000000000006</v>
      </c>
      <c r="V8" s="968" t="s">
        <v>58</v>
      </c>
      <c r="W8" s="968"/>
      <c r="X8" s="983" t="s">
        <v>1424</v>
      </c>
      <c r="Y8" s="983">
        <f>U8*10%</f>
        <v>4.9400000000000013</v>
      </c>
      <c r="Z8" s="953">
        <v>1</v>
      </c>
      <c r="AA8" s="953">
        <f t="shared" si="0"/>
        <v>4.9400000000000013</v>
      </c>
      <c r="AB8" s="953" t="s">
        <v>58</v>
      </c>
      <c r="AC8" s="1144">
        <v>43560</v>
      </c>
      <c r="AD8" s="1144">
        <f t="shared" si="1"/>
        <v>215186.40000000005</v>
      </c>
      <c r="AE8" s="1132">
        <v>70000000</v>
      </c>
      <c r="AF8" s="1132">
        <f t="shared" si="2"/>
        <v>70000000</v>
      </c>
    </row>
    <row r="9" spans="2:75" ht="36" customHeight="1" x14ac:dyDescent="0.45">
      <c r="C9" s="1104"/>
      <c r="D9" s="1106"/>
      <c r="E9" s="1107"/>
      <c r="F9" s="1107"/>
      <c r="G9" s="1110" t="s">
        <v>1394</v>
      </c>
      <c r="H9" s="1107"/>
      <c r="I9" s="1106"/>
      <c r="J9" s="1104"/>
      <c r="K9" s="947">
        <v>1</v>
      </c>
      <c r="L9" s="938" t="s">
        <v>1400</v>
      </c>
      <c r="M9" s="938">
        <f>Q9</f>
        <v>30.875</v>
      </c>
      <c r="N9" s="938" t="s">
        <v>58</v>
      </c>
      <c r="P9" s="1124" t="s">
        <v>1399</v>
      </c>
      <c r="Q9" s="1125">
        <f>Q8/2</f>
        <v>30.875</v>
      </c>
      <c r="R9" s="1126" t="s">
        <v>58</v>
      </c>
      <c r="X9" s="983" t="s">
        <v>56</v>
      </c>
      <c r="Y9" s="983">
        <f>U8*5%</f>
        <v>2.4700000000000006</v>
      </c>
      <c r="Z9" s="953">
        <v>10</v>
      </c>
      <c r="AA9" s="953">
        <f t="shared" ref="AA9:AA12" si="3">Y9/Z9</f>
        <v>0.24700000000000005</v>
      </c>
      <c r="AB9" s="953" t="s">
        <v>58</v>
      </c>
      <c r="AC9" s="1144">
        <v>43560</v>
      </c>
      <c r="AD9" s="1144">
        <f t="shared" ref="AD9:AD12" si="4">AA9*AC9</f>
        <v>10759.320000000002</v>
      </c>
      <c r="AE9" s="1132">
        <v>6000000</v>
      </c>
      <c r="AF9" s="1132">
        <f t="shared" ref="AF9:AF12" si="5">Z9*AE9</f>
        <v>60000000</v>
      </c>
    </row>
    <row r="10" spans="2:75" ht="36" customHeight="1" x14ac:dyDescent="0.45">
      <c r="C10" s="1103">
        <v>8</v>
      </c>
      <c r="D10" s="1105">
        <v>8</v>
      </c>
      <c r="E10" s="1107"/>
      <c r="F10" s="1106"/>
      <c r="G10" s="1110" t="s">
        <v>1393</v>
      </c>
      <c r="H10" s="1107"/>
      <c r="I10" s="1105">
        <v>3</v>
      </c>
      <c r="J10" s="1103">
        <v>3</v>
      </c>
      <c r="K10" s="947">
        <v>5</v>
      </c>
      <c r="L10" s="938" t="s">
        <v>1405</v>
      </c>
      <c r="X10" s="983" t="s">
        <v>1419</v>
      </c>
      <c r="Y10" s="983">
        <f>U8*10%</f>
        <v>4.9400000000000013</v>
      </c>
      <c r="Z10" s="953">
        <v>40</v>
      </c>
      <c r="AA10" s="953">
        <f t="shared" si="3"/>
        <v>0.12350000000000003</v>
      </c>
      <c r="AB10" s="953" t="s">
        <v>58</v>
      </c>
      <c r="AC10" s="1144">
        <v>43560</v>
      </c>
      <c r="AD10" s="1144">
        <f t="shared" si="4"/>
        <v>5379.6600000000008</v>
      </c>
      <c r="AE10" s="1132">
        <v>1500000</v>
      </c>
      <c r="AF10" s="1132">
        <f t="shared" si="5"/>
        <v>60000000</v>
      </c>
    </row>
    <row r="11" spans="2:75" ht="36" customHeight="1" x14ac:dyDescent="0.45">
      <c r="C11" s="1104"/>
      <c r="D11" s="1108"/>
      <c r="E11" s="1107"/>
      <c r="F11" s="1107"/>
      <c r="G11" s="1107"/>
      <c r="H11" s="1107"/>
      <c r="I11" s="1106"/>
      <c r="J11" s="1104"/>
      <c r="L11" s="938" t="s">
        <v>1402</v>
      </c>
      <c r="T11" s="938"/>
      <c r="X11" s="983" t="s">
        <v>1417</v>
      </c>
      <c r="Y11" s="983">
        <f>U8*30%</f>
        <v>14.82</v>
      </c>
      <c r="Z11" s="953">
        <v>30</v>
      </c>
      <c r="AA11" s="953">
        <f t="shared" si="3"/>
        <v>0.49399999999999999</v>
      </c>
      <c r="AB11" s="953" t="s">
        <v>58</v>
      </c>
      <c r="AC11" s="1144">
        <v>43560</v>
      </c>
      <c r="AD11" s="1144">
        <f t="shared" si="4"/>
        <v>21518.639999999999</v>
      </c>
      <c r="AE11" s="1132">
        <v>2500000</v>
      </c>
      <c r="AF11" s="1132">
        <f t="shared" si="5"/>
        <v>75000000</v>
      </c>
    </row>
    <row r="12" spans="2:75" ht="36" customHeight="1" x14ac:dyDescent="0.45">
      <c r="C12" s="1104"/>
      <c r="D12" s="1105">
        <v>7</v>
      </c>
      <c r="E12" s="1106"/>
      <c r="F12" s="1105">
        <v>6</v>
      </c>
      <c r="G12" s="1105">
        <v>5</v>
      </c>
      <c r="H12" s="1106"/>
      <c r="I12" s="1105">
        <v>4</v>
      </c>
      <c r="J12" s="1104"/>
      <c r="K12" s="947">
        <v>4</v>
      </c>
      <c r="T12" s="938"/>
      <c r="X12" s="983" t="s">
        <v>1418</v>
      </c>
      <c r="Y12" s="983">
        <f>U8-Y7-Y8-Y6-Y9-Y10-Y11</f>
        <v>9.8800000000000132</v>
      </c>
      <c r="Z12" s="953">
        <v>100</v>
      </c>
      <c r="AA12" s="953">
        <f t="shared" si="3"/>
        <v>9.8800000000000138E-2</v>
      </c>
      <c r="AB12" s="953" t="s">
        <v>58</v>
      </c>
      <c r="AC12" s="1144">
        <v>43560</v>
      </c>
      <c r="AD12" s="1144">
        <f t="shared" si="4"/>
        <v>4303.7280000000064</v>
      </c>
      <c r="AE12" s="1132">
        <v>750000</v>
      </c>
      <c r="AF12" s="1132">
        <f t="shared" si="5"/>
        <v>75000000</v>
      </c>
    </row>
    <row r="13" spans="2:75" ht="36" customHeight="1" x14ac:dyDescent="0.45">
      <c r="C13" s="1103">
        <v>7</v>
      </c>
      <c r="D13" s="1104"/>
      <c r="E13" s="1103">
        <v>6</v>
      </c>
      <c r="F13" s="1104"/>
      <c r="G13" s="1104"/>
      <c r="H13" s="1103">
        <v>5</v>
      </c>
      <c r="I13" s="1104"/>
      <c r="J13" s="1103">
        <v>4</v>
      </c>
      <c r="K13" s="947">
        <v>4</v>
      </c>
      <c r="L13" s="938" t="s">
        <v>1401</v>
      </c>
      <c r="T13" s="938"/>
      <c r="Z13" s="1133">
        <f>SUM(Z6:Z12)</f>
        <v>206</v>
      </c>
      <c r="AF13" s="1134">
        <f>SUM(AF6:AF12)</f>
        <v>516000000</v>
      </c>
    </row>
    <row r="14" spans="2:75" ht="18" customHeight="1" x14ac:dyDescent="0.3">
      <c r="K14" s="947">
        <f>SUM(K6:K13)</f>
        <v>26</v>
      </c>
      <c r="L14" s="1078" t="s">
        <v>1391</v>
      </c>
      <c r="T14" s="938"/>
    </row>
    <row r="15" spans="2:75" ht="18" customHeight="1" x14ac:dyDescent="0.3">
      <c r="C15" s="938">
        <v>4</v>
      </c>
      <c r="D15" s="938">
        <v>4</v>
      </c>
      <c r="E15" s="938">
        <v>7</v>
      </c>
      <c r="F15" s="938">
        <v>5</v>
      </c>
      <c r="G15" s="938">
        <v>4</v>
      </c>
      <c r="H15" s="938">
        <v>6</v>
      </c>
      <c r="I15" s="938">
        <v>4</v>
      </c>
      <c r="J15" s="938">
        <v>4</v>
      </c>
      <c r="K15" s="947">
        <f>SUM(C15:J15)</f>
        <v>38</v>
      </c>
      <c r="L15" s="938" t="s">
        <v>1392</v>
      </c>
      <c r="N15" s="1111"/>
      <c r="O15" s="1112"/>
      <c r="P15" s="1112"/>
      <c r="Q15" s="1112" t="s">
        <v>1410</v>
      </c>
      <c r="R15" s="1113" t="s">
        <v>1411</v>
      </c>
      <c r="U15" s="1111"/>
      <c r="V15" s="1112"/>
      <c r="W15" s="1112"/>
      <c r="X15" s="1112" t="s">
        <v>1410</v>
      </c>
      <c r="Y15" s="1113" t="s">
        <v>1411</v>
      </c>
    </row>
    <row r="16" spans="2:75" x14ac:dyDescent="0.3">
      <c r="K16" s="947">
        <f>SUM(K14:K15)</f>
        <v>64</v>
      </c>
      <c r="N16" s="1114" t="s">
        <v>1403</v>
      </c>
      <c r="O16" s="1044"/>
      <c r="P16" s="1044"/>
      <c r="Q16" s="1044"/>
      <c r="R16" s="1129">
        <v>250000000</v>
      </c>
      <c r="U16" s="1114" t="s">
        <v>1413</v>
      </c>
      <c r="V16" s="1044"/>
      <c r="W16" s="1044"/>
      <c r="X16" s="1044"/>
      <c r="Y16" s="1129">
        <v>250000000</v>
      </c>
    </row>
    <row r="17" spans="14:28" x14ac:dyDescent="0.3">
      <c r="N17" s="1114" t="s">
        <v>1406</v>
      </c>
      <c r="O17" s="1044"/>
      <c r="P17" s="1044"/>
      <c r="Q17" s="1145">
        <v>250000000</v>
      </c>
      <c r="R17" s="1146" t="s">
        <v>1425</v>
      </c>
      <c r="U17" s="1114" t="s">
        <v>1406</v>
      </c>
      <c r="V17" s="1044"/>
      <c r="W17" s="1044"/>
      <c r="X17" s="1145">
        <v>500000000</v>
      </c>
      <c r="Y17" s="1146" t="s">
        <v>1425</v>
      </c>
    </row>
    <row r="18" spans="14:28" x14ac:dyDescent="0.3">
      <c r="N18" s="1114" t="s">
        <v>1407</v>
      </c>
      <c r="O18" s="1044"/>
      <c r="P18" s="1044"/>
      <c r="Q18" s="1130">
        <v>100000000</v>
      </c>
      <c r="R18" s="1115"/>
      <c r="U18" s="1114" t="s">
        <v>1407</v>
      </c>
      <c r="V18" s="1044"/>
      <c r="W18" s="1044"/>
      <c r="X18" s="1130">
        <v>50000000</v>
      </c>
      <c r="Y18" s="1115"/>
    </row>
    <row r="19" spans="14:28" x14ac:dyDescent="0.3">
      <c r="N19" s="1114" t="s">
        <v>1408</v>
      </c>
      <c r="O19" s="1044"/>
      <c r="P19" s="1044"/>
      <c r="Q19" s="1130">
        <v>200000000</v>
      </c>
      <c r="R19" s="1115"/>
      <c r="U19" s="1114" t="s">
        <v>1408</v>
      </c>
      <c r="V19" s="1044"/>
      <c r="W19" s="1044"/>
      <c r="X19" s="1130">
        <v>200000000</v>
      </c>
      <c r="Y19" s="1115"/>
    </row>
    <row r="20" spans="14:28" x14ac:dyDescent="0.3">
      <c r="N20" s="1114" t="s">
        <v>1409</v>
      </c>
      <c r="O20" s="1044"/>
      <c r="P20" s="1044"/>
      <c r="Q20" s="1130">
        <v>200000000</v>
      </c>
      <c r="R20" s="1115"/>
      <c r="U20" s="1114" t="s">
        <v>1409</v>
      </c>
      <c r="V20" s="1044"/>
      <c r="W20" s="1044"/>
      <c r="X20" s="1130"/>
      <c r="Y20" s="1115"/>
    </row>
    <row r="21" spans="14:28" x14ac:dyDescent="0.3">
      <c r="N21" s="1114" t="s">
        <v>1103</v>
      </c>
      <c r="O21" s="1044"/>
      <c r="P21" s="1044"/>
      <c r="Q21" s="1130">
        <v>200000000</v>
      </c>
      <c r="R21" s="1115"/>
      <c r="U21" s="1114" t="s">
        <v>1103</v>
      </c>
      <c r="V21" s="1044"/>
      <c r="W21" s="1044"/>
      <c r="X21" s="1130">
        <v>200000000</v>
      </c>
      <c r="Y21" s="1115"/>
    </row>
    <row r="22" spans="14:28" x14ac:dyDescent="0.3">
      <c r="N22" s="1114" t="s">
        <v>1404</v>
      </c>
      <c r="O22" s="1044"/>
      <c r="P22" s="1044"/>
      <c r="Q22" s="1130">
        <v>100000000</v>
      </c>
      <c r="R22" s="1115"/>
      <c r="U22" s="1114" t="s">
        <v>1404</v>
      </c>
      <c r="V22" s="1044"/>
      <c r="W22" s="1044"/>
      <c r="X22" s="1130">
        <v>100000000</v>
      </c>
      <c r="Y22" s="1115"/>
      <c r="AB22" s="1127"/>
    </row>
    <row r="23" spans="14:28" x14ac:dyDescent="0.3">
      <c r="N23" s="1114" t="s">
        <v>1104</v>
      </c>
      <c r="O23" s="1044"/>
      <c r="P23" s="1044"/>
      <c r="Q23" s="1130">
        <v>100000000</v>
      </c>
      <c r="R23" s="1115"/>
      <c r="U23" s="1114" t="s">
        <v>1104</v>
      </c>
      <c r="V23" s="1044"/>
      <c r="W23" s="1044"/>
      <c r="X23" s="1130">
        <v>50000000</v>
      </c>
      <c r="Y23" s="1115"/>
    </row>
    <row r="24" spans="14:28" x14ac:dyDescent="0.3">
      <c r="N24" s="1114"/>
      <c r="O24" s="1044"/>
      <c r="P24" s="1044"/>
      <c r="Q24" s="1044"/>
      <c r="R24" s="1115"/>
      <c r="U24" s="1114"/>
      <c r="V24" s="1044"/>
      <c r="W24" s="1044"/>
      <c r="X24" s="1044"/>
      <c r="Y24" s="1115"/>
    </row>
    <row r="25" spans="14:28" x14ac:dyDescent="0.3">
      <c r="N25" s="1114"/>
      <c r="O25" s="1044"/>
      <c r="P25" s="1044"/>
      <c r="Q25" s="1044"/>
      <c r="R25" s="1044"/>
      <c r="S25" s="1135" t="s">
        <v>1412</v>
      </c>
      <c r="T25" s="1135" t="s">
        <v>1391</v>
      </c>
      <c r="U25" s="1044"/>
      <c r="V25" s="1044"/>
      <c r="W25" s="1044"/>
      <c r="X25" s="1044"/>
      <c r="Y25" s="1115"/>
      <c r="Z25" s="983" t="s">
        <v>1412</v>
      </c>
    </row>
    <row r="26" spans="14:28" ht="16.2" thickBot="1" x14ac:dyDescent="0.35">
      <c r="N26" s="1116"/>
      <c r="O26" s="1117"/>
      <c r="P26" s="1117"/>
      <c r="Q26" s="1128">
        <f>SUM(Q16:Q25)</f>
        <v>1150000000</v>
      </c>
      <c r="R26" s="1128">
        <f>SUM(R16:R25)</f>
        <v>250000000</v>
      </c>
      <c r="S26" s="1136">
        <f>SUM(Q26:R26)</f>
        <v>1400000000</v>
      </c>
      <c r="T26" s="1135"/>
      <c r="U26" s="1117"/>
      <c r="V26" s="1117"/>
      <c r="W26" s="1117"/>
      <c r="X26" s="1128">
        <f>SUM(X16:X25)</f>
        <v>1100000000</v>
      </c>
      <c r="Y26" s="1131">
        <f>SUM(Y16:Y25)</f>
        <v>250000000</v>
      </c>
      <c r="Z26" s="1147">
        <f>SUM(X26:Y26)</f>
        <v>1350000000</v>
      </c>
    </row>
    <row r="27" spans="14:28" ht="16.2" thickTop="1" x14ac:dyDescent="0.3">
      <c r="S27" s="977">
        <v>12</v>
      </c>
      <c r="T27" s="1135"/>
      <c r="Z27" s="983">
        <v>4</v>
      </c>
    </row>
    <row r="28" spans="14:28" x14ac:dyDescent="0.3">
      <c r="S28" s="1136">
        <f>S26*S27</f>
        <v>16800000000</v>
      </c>
      <c r="T28" s="1135"/>
      <c r="Z28" s="1147">
        <f>Z26*Z27</f>
        <v>5400000000</v>
      </c>
    </row>
    <row r="29" spans="14:28" x14ac:dyDescent="0.3">
      <c r="S29" s="1136"/>
      <c r="T29" s="1135"/>
      <c r="Z29" s="1148"/>
    </row>
    <row r="30" spans="14:28" x14ac:dyDescent="0.3">
      <c r="S30" s="1140" t="s">
        <v>1412</v>
      </c>
      <c r="T30" s="1140" t="s">
        <v>1414</v>
      </c>
      <c r="Z30" s="1142"/>
    </row>
    <row r="31" spans="14:28" x14ac:dyDescent="0.3">
      <c r="S31" s="1141">
        <f>Z26</f>
        <v>1350000000</v>
      </c>
      <c r="T31" s="1140"/>
      <c r="Z31" s="1149" t="s">
        <v>1431</v>
      </c>
    </row>
    <row r="32" spans="14:28" x14ac:dyDescent="0.3">
      <c r="S32" s="980">
        <f>Z27</f>
        <v>4</v>
      </c>
      <c r="T32" s="1140"/>
      <c r="Z32" s="1142"/>
    </row>
    <row r="33" spans="19:26" x14ac:dyDescent="0.3">
      <c r="S33" s="1141">
        <f>S31*S32</f>
        <v>5400000000</v>
      </c>
      <c r="T33" s="1140"/>
      <c r="U33" s="1149" t="s">
        <v>1239</v>
      </c>
      <c r="V33" s="1149"/>
      <c r="W33" s="1149"/>
      <c r="X33" s="1149" t="s">
        <v>1430</v>
      </c>
      <c r="Y33" s="1149"/>
      <c r="Z33" s="1149" t="s">
        <v>1239</v>
      </c>
    </row>
    <row r="34" spans="19:26" x14ac:dyDescent="0.3">
      <c r="S34" s="977"/>
      <c r="T34" s="1135"/>
    </row>
    <row r="35" spans="19:26" x14ac:dyDescent="0.3">
      <c r="S35" s="1141">
        <f>SUM(S28:S34)</f>
        <v>23550000004</v>
      </c>
      <c r="T35" s="1140" t="s">
        <v>59</v>
      </c>
    </row>
    <row r="36" spans="19:26" x14ac:dyDescent="0.3">
      <c r="S36" s="1137">
        <v>8</v>
      </c>
      <c r="T36" s="1138" t="s">
        <v>889</v>
      </c>
    </row>
    <row r="37" spans="19:26" x14ac:dyDescent="0.3">
      <c r="S37" s="1139">
        <f>S35/S36</f>
        <v>2943750000.5</v>
      </c>
      <c r="T37" s="1138" t="s">
        <v>1415</v>
      </c>
    </row>
    <row r="38" spans="19:26" x14ac:dyDescent="0.3">
      <c r="T38" s="1032" t="s">
        <v>1432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F20CD-88B7-469C-BCE5-A33E4873A318}">
  <dimension ref="A2:BY103"/>
  <sheetViews>
    <sheetView workbookViewId="0">
      <selection activeCell="E6" sqref="E6:E21"/>
    </sheetView>
  </sheetViews>
  <sheetFormatPr defaultRowHeight="18.600000000000001" x14ac:dyDescent="0.45"/>
  <cols>
    <col min="1" max="2" width="8.88671875" style="1"/>
    <col min="3" max="3" width="18.33203125" style="870" customWidth="1"/>
    <col min="4" max="4" width="27.77734375" style="1" bestFit="1" customWidth="1"/>
    <col min="5" max="5" width="9.88671875" style="12" customWidth="1"/>
    <col min="6" max="6" width="8.88671875" style="12"/>
    <col min="7" max="7" width="8.88671875" style="1"/>
    <col min="8" max="8" width="14.77734375" style="7" bestFit="1" customWidth="1"/>
    <col min="9" max="9" width="9.77734375" style="1" bestFit="1" customWidth="1"/>
    <col min="10" max="10" width="9.77734375" style="1" customWidth="1"/>
    <col min="11" max="11" width="28.5546875" style="1" bestFit="1" customWidth="1"/>
    <col min="12" max="16384" width="8.88671875" style="1"/>
  </cols>
  <sheetData>
    <row r="2" spans="1:77" s="703" customFormat="1" ht="25.2" x14ac:dyDescent="0.6">
      <c r="A2" s="701"/>
      <c r="B2" s="702" t="s">
        <v>1026</v>
      </c>
      <c r="C2" s="871"/>
      <c r="D2" s="704"/>
      <c r="E2" s="878" t="s">
        <v>1089</v>
      </c>
      <c r="F2" s="878"/>
      <c r="G2" s="707" t="s">
        <v>1028</v>
      </c>
      <c r="H2" s="875"/>
      <c r="I2" s="709"/>
      <c r="J2" s="708"/>
      <c r="K2" s="710" t="s">
        <v>1029</v>
      </c>
      <c r="L2" s="711"/>
      <c r="M2" s="712"/>
      <c r="P2" s="708"/>
      <c r="Q2" s="713"/>
      <c r="S2" s="714"/>
      <c r="T2" s="713"/>
      <c r="V2" s="715"/>
      <c r="Y2" s="706"/>
      <c r="Z2" s="716"/>
      <c r="AA2" s="717"/>
      <c r="AB2" s="718"/>
      <c r="AC2" s="718"/>
      <c r="AD2" s="718"/>
      <c r="AE2" s="718"/>
      <c r="AF2" s="718"/>
      <c r="AG2" s="718"/>
      <c r="AI2" s="719"/>
      <c r="AS2" s="720"/>
      <c r="BA2" s="720"/>
      <c r="BI2" s="720"/>
      <c r="BY2" s="721"/>
    </row>
    <row r="3" spans="1:77" x14ac:dyDescent="0.45">
      <c r="J3" s="7"/>
    </row>
    <row r="4" spans="1:77" x14ac:dyDescent="0.45">
      <c r="C4" s="872" t="s">
        <v>1259</v>
      </c>
      <c r="D4" s="76" t="s">
        <v>1236</v>
      </c>
      <c r="E4" s="877" t="s">
        <v>1241</v>
      </c>
      <c r="F4" s="877" t="s">
        <v>1264</v>
      </c>
    </row>
    <row r="5" spans="1:77" x14ac:dyDescent="0.45">
      <c r="C5" s="879"/>
      <c r="D5" s="7"/>
      <c r="E5" s="287"/>
      <c r="F5" s="287"/>
      <c r="G5" s="7"/>
    </row>
    <row r="6" spans="1:77" x14ac:dyDescent="0.45">
      <c r="C6" s="880" t="s">
        <v>102</v>
      </c>
      <c r="D6" s="410" t="s">
        <v>1244</v>
      </c>
      <c r="E6" s="987"/>
      <c r="F6" s="302">
        <v>128</v>
      </c>
      <c r="G6" s="881" t="s">
        <v>1263</v>
      </c>
      <c r="H6" s="410" t="s">
        <v>1229</v>
      </c>
    </row>
    <row r="7" spans="1:77" x14ac:dyDescent="0.45">
      <c r="C7" s="880"/>
      <c r="D7" s="410" t="s">
        <v>1252</v>
      </c>
      <c r="E7" s="987">
        <v>16</v>
      </c>
      <c r="F7" s="302"/>
      <c r="G7" s="881" t="s">
        <v>1144</v>
      </c>
      <c r="H7" s="410"/>
    </row>
    <row r="8" spans="1:77" x14ac:dyDescent="0.45">
      <c r="C8" s="880"/>
      <c r="D8" s="410" t="s">
        <v>1254</v>
      </c>
      <c r="E8" s="987">
        <v>32</v>
      </c>
      <c r="F8" s="302"/>
      <c r="G8" s="881" t="s">
        <v>1144</v>
      </c>
      <c r="H8" s="410"/>
    </row>
    <row r="9" spans="1:77" x14ac:dyDescent="0.45">
      <c r="C9" s="880"/>
      <c r="D9" s="410" t="s">
        <v>1237</v>
      </c>
      <c r="E9" s="987">
        <v>16</v>
      </c>
      <c r="F9" s="302"/>
      <c r="G9" s="881" t="s">
        <v>1144</v>
      </c>
      <c r="H9" s="410"/>
    </row>
    <row r="10" spans="1:77" x14ac:dyDescent="0.45">
      <c r="C10" s="880"/>
      <c r="D10" s="410" t="s">
        <v>1255</v>
      </c>
      <c r="E10" s="987">
        <v>16</v>
      </c>
      <c r="F10" s="302"/>
      <c r="G10" s="881" t="s">
        <v>1144</v>
      </c>
      <c r="H10" s="410"/>
    </row>
    <row r="11" spans="1:77" x14ac:dyDescent="0.45">
      <c r="C11" s="880"/>
      <c r="D11" s="410" t="s">
        <v>1269</v>
      </c>
      <c r="E11" s="987">
        <v>16</v>
      </c>
      <c r="F11" s="302"/>
      <c r="G11" s="881" t="s">
        <v>1144</v>
      </c>
      <c r="H11" s="410"/>
    </row>
    <row r="12" spans="1:77" x14ac:dyDescent="0.45">
      <c r="C12" s="880"/>
      <c r="D12" s="410" t="s">
        <v>1261</v>
      </c>
      <c r="E12" s="987">
        <v>16</v>
      </c>
      <c r="F12" s="302"/>
      <c r="G12" s="881" t="s">
        <v>1144</v>
      </c>
      <c r="H12" s="410"/>
    </row>
    <row r="13" spans="1:77" x14ac:dyDescent="0.45">
      <c r="C13" s="886"/>
      <c r="D13" s="887" t="s">
        <v>1266</v>
      </c>
      <c r="E13" s="991">
        <f>SUM(E7:E12)</f>
        <v>112</v>
      </c>
      <c r="F13" s="888"/>
      <c r="G13" s="881" t="s">
        <v>1272</v>
      </c>
      <c r="H13" s="887"/>
    </row>
    <row r="14" spans="1:77" x14ac:dyDescent="0.45">
      <c r="C14" s="882"/>
      <c r="D14" s="874" t="s">
        <v>1240</v>
      </c>
      <c r="E14" s="992">
        <v>16</v>
      </c>
      <c r="F14" s="883"/>
      <c r="G14" s="884" t="s">
        <v>1265</v>
      </c>
      <c r="H14" s="874"/>
    </row>
    <row r="15" spans="1:77" x14ac:dyDescent="0.45">
      <c r="C15" s="882"/>
      <c r="D15" s="874" t="s">
        <v>1244</v>
      </c>
      <c r="E15" s="992">
        <v>32</v>
      </c>
      <c r="F15" s="883"/>
      <c r="G15" s="884" t="s">
        <v>1265</v>
      </c>
      <c r="H15" s="874"/>
    </row>
    <row r="16" spans="1:77" x14ac:dyDescent="0.45">
      <c r="C16" s="885"/>
      <c r="D16" s="874" t="s">
        <v>1243</v>
      </c>
      <c r="E16" s="992">
        <v>8</v>
      </c>
      <c r="F16" s="883"/>
      <c r="G16" s="884" t="s">
        <v>1265</v>
      </c>
      <c r="H16" s="876"/>
    </row>
    <row r="17" spans="3:11" x14ac:dyDescent="0.45">
      <c r="C17" s="885"/>
      <c r="D17" s="874" t="s">
        <v>1246</v>
      </c>
      <c r="E17" s="992">
        <v>8</v>
      </c>
      <c r="F17" s="883"/>
      <c r="G17" s="884" t="s">
        <v>1265</v>
      </c>
      <c r="H17" s="876"/>
      <c r="K17" s="251"/>
    </row>
    <row r="18" spans="3:11" x14ac:dyDescent="0.45">
      <c r="C18" s="885"/>
      <c r="D18" s="873" t="s">
        <v>1238</v>
      </c>
      <c r="E18" s="992">
        <v>8</v>
      </c>
      <c r="F18" s="883"/>
      <c r="G18" s="884" t="s">
        <v>1265</v>
      </c>
      <c r="H18" s="876"/>
      <c r="K18" s="251"/>
    </row>
    <row r="19" spans="3:11" x14ac:dyDescent="0.45">
      <c r="C19" s="885"/>
      <c r="D19" s="874" t="s">
        <v>1257</v>
      </c>
      <c r="E19" s="992">
        <v>8</v>
      </c>
      <c r="F19" s="883"/>
      <c r="G19" s="884" t="s">
        <v>1239</v>
      </c>
      <c r="H19" s="876"/>
      <c r="K19" s="251"/>
    </row>
    <row r="20" spans="3:11" x14ac:dyDescent="0.45">
      <c r="C20" s="885"/>
      <c r="D20" s="874" t="s">
        <v>1268</v>
      </c>
      <c r="E20" s="992">
        <v>16</v>
      </c>
      <c r="F20" s="883"/>
      <c r="G20" s="884" t="s">
        <v>1239</v>
      </c>
      <c r="H20" s="876"/>
      <c r="K20" s="251"/>
    </row>
    <row r="21" spans="3:11" x14ac:dyDescent="0.45">
      <c r="C21" s="885"/>
      <c r="D21" s="889" t="s">
        <v>1267</v>
      </c>
      <c r="E21" s="993">
        <f>SUM(E14:E20)</f>
        <v>96</v>
      </c>
      <c r="F21" s="890"/>
      <c r="G21" s="884" t="s">
        <v>1273</v>
      </c>
      <c r="H21" s="891"/>
      <c r="K21" s="251"/>
    </row>
    <row r="22" spans="3:11" x14ac:dyDescent="0.45">
      <c r="C22" s="879"/>
      <c r="D22" s="7"/>
      <c r="E22" s="287"/>
      <c r="F22" s="287"/>
      <c r="G22" s="7"/>
    </row>
    <row r="23" spans="3:11" x14ac:dyDescent="0.45">
      <c r="C23" s="880" t="s">
        <v>1230</v>
      </c>
      <c r="D23" s="410" t="s">
        <v>1262</v>
      </c>
      <c r="E23" s="302">
        <v>64</v>
      </c>
      <c r="F23" s="302"/>
      <c r="G23" s="881" t="s">
        <v>1144</v>
      </c>
      <c r="H23" s="410" t="s">
        <v>1229</v>
      </c>
    </row>
    <row r="24" spans="3:11" x14ac:dyDescent="0.45">
      <c r="C24" s="880"/>
      <c r="D24" s="410"/>
      <c r="E24" s="302">
        <v>32</v>
      </c>
      <c r="F24" s="302"/>
      <c r="G24" s="881" t="s">
        <v>1144</v>
      </c>
      <c r="H24" s="410"/>
    </row>
    <row r="25" spans="3:11" x14ac:dyDescent="0.45">
      <c r="C25" s="880"/>
      <c r="D25" s="410"/>
      <c r="E25" s="302">
        <v>32</v>
      </c>
      <c r="F25" s="302"/>
      <c r="G25" s="881" t="s">
        <v>1144</v>
      </c>
      <c r="H25" s="410"/>
      <c r="K25" s="1" t="s">
        <v>1261</v>
      </c>
    </row>
    <row r="26" spans="3:11" x14ac:dyDescent="0.45">
      <c r="C26" s="880"/>
      <c r="D26" s="410"/>
      <c r="E26" s="302">
        <v>16</v>
      </c>
      <c r="F26" s="302"/>
      <c r="G26" s="881" t="s">
        <v>1144</v>
      </c>
      <c r="H26" s="410"/>
    </row>
    <row r="27" spans="3:11" x14ac:dyDescent="0.45">
      <c r="C27" s="880"/>
      <c r="D27" s="410"/>
      <c r="E27" s="302">
        <v>16</v>
      </c>
      <c r="F27" s="302"/>
      <c r="G27" s="881" t="s">
        <v>1144</v>
      </c>
      <c r="H27" s="410"/>
    </row>
    <row r="28" spans="3:11" x14ac:dyDescent="0.45">
      <c r="C28" s="882"/>
      <c r="D28" s="874"/>
      <c r="E28" s="883">
        <v>16</v>
      </c>
      <c r="F28" s="883"/>
      <c r="G28" s="884" t="s">
        <v>1239</v>
      </c>
      <c r="H28" s="874"/>
    </row>
    <row r="29" spans="3:11" x14ac:dyDescent="0.45">
      <c r="C29" s="882"/>
      <c r="D29" s="874"/>
      <c r="E29" s="883">
        <v>64</v>
      </c>
      <c r="F29" s="883"/>
      <c r="G29" s="884" t="s">
        <v>1239</v>
      </c>
      <c r="H29" s="874"/>
    </row>
    <row r="30" spans="3:11" x14ac:dyDescent="0.45">
      <c r="C30" s="885"/>
      <c r="D30" s="874"/>
      <c r="E30" s="883">
        <v>16</v>
      </c>
      <c r="F30" s="883"/>
      <c r="G30" s="884" t="s">
        <v>1239</v>
      </c>
      <c r="H30" s="876"/>
    </row>
    <row r="31" spans="3:11" x14ac:dyDescent="0.45">
      <c r="C31" s="885"/>
      <c r="D31" s="874"/>
      <c r="E31" s="883">
        <v>32</v>
      </c>
      <c r="F31" s="883"/>
      <c r="G31" s="884" t="s">
        <v>1239</v>
      </c>
      <c r="H31" s="876"/>
      <c r="K31" s="251"/>
    </row>
    <row r="32" spans="3:11" x14ac:dyDescent="0.45">
      <c r="C32" s="885"/>
      <c r="D32" s="873"/>
      <c r="E32" s="883">
        <v>16</v>
      </c>
      <c r="F32" s="883"/>
      <c r="G32" s="884" t="s">
        <v>1239</v>
      </c>
      <c r="H32" s="876"/>
      <c r="K32" s="251"/>
    </row>
    <row r="33" spans="3:11" x14ac:dyDescent="0.45">
      <c r="C33" s="885"/>
      <c r="D33" s="874"/>
      <c r="E33" s="883">
        <v>16</v>
      </c>
      <c r="F33" s="883"/>
      <c r="G33" s="884" t="s">
        <v>1239</v>
      </c>
      <c r="H33" s="876"/>
      <c r="K33" s="251"/>
    </row>
    <row r="34" spans="3:11" x14ac:dyDescent="0.45">
      <c r="C34" s="879"/>
      <c r="D34" s="7"/>
      <c r="E34" s="287"/>
      <c r="F34" s="287"/>
      <c r="G34" s="7"/>
    </row>
    <row r="35" spans="3:11" x14ac:dyDescent="0.45">
      <c r="C35" s="879"/>
      <c r="D35" s="7"/>
      <c r="E35" s="287"/>
      <c r="F35" s="287"/>
      <c r="G35" s="7"/>
    </row>
    <row r="36" spans="3:11" x14ac:dyDescent="0.45">
      <c r="C36" s="880" t="s">
        <v>598</v>
      </c>
      <c r="D36" s="410" t="s">
        <v>1245</v>
      </c>
      <c r="E36" s="302">
        <v>64</v>
      </c>
      <c r="F36" s="302"/>
      <c r="G36" s="881" t="s">
        <v>1144</v>
      </c>
      <c r="H36" s="410" t="s">
        <v>1229</v>
      </c>
    </row>
    <row r="37" spans="3:11" x14ac:dyDescent="0.45">
      <c r="C37" s="882"/>
      <c r="D37" s="874" t="s">
        <v>1240</v>
      </c>
      <c r="E37" s="883">
        <v>16</v>
      </c>
      <c r="F37" s="883"/>
      <c r="G37" s="884" t="s">
        <v>1239</v>
      </c>
      <c r="H37" s="874"/>
    </row>
    <row r="38" spans="3:11" x14ac:dyDescent="0.45">
      <c r="C38" s="885"/>
      <c r="D38" s="874" t="s">
        <v>1235</v>
      </c>
      <c r="E38" s="883">
        <v>16</v>
      </c>
      <c r="F38" s="883"/>
      <c r="G38" s="884" t="s">
        <v>1239</v>
      </c>
      <c r="H38" s="876"/>
    </row>
    <row r="39" spans="3:11" x14ac:dyDescent="0.45">
      <c r="C39" s="885"/>
      <c r="D39" s="874" t="s">
        <v>1244</v>
      </c>
      <c r="E39" s="883">
        <v>16</v>
      </c>
      <c r="F39" s="883"/>
      <c r="G39" s="884" t="s">
        <v>1239</v>
      </c>
      <c r="H39" s="876"/>
    </row>
    <row r="40" spans="3:11" x14ac:dyDescent="0.45">
      <c r="C40" s="885"/>
      <c r="D40" s="874" t="s">
        <v>1257</v>
      </c>
      <c r="E40" s="883">
        <v>16</v>
      </c>
      <c r="F40" s="883"/>
      <c r="G40" s="884" t="s">
        <v>1239</v>
      </c>
      <c r="H40" s="876"/>
    </row>
    <row r="41" spans="3:11" x14ac:dyDescent="0.45">
      <c r="C41" s="879"/>
      <c r="D41" s="7"/>
      <c r="E41" s="287"/>
      <c r="F41" s="287"/>
      <c r="G41" s="7"/>
    </row>
    <row r="42" spans="3:11" x14ac:dyDescent="0.45">
      <c r="C42" s="880" t="s">
        <v>1231</v>
      </c>
      <c r="D42" s="410" t="s">
        <v>1237</v>
      </c>
      <c r="E42" s="302">
        <v>64</v>
      </c>
      <c r="F42" s="302"/>
      <c r="G42" s="881" t="s">
        <v>1144</v>
      </c>
      <c r="H42" s="410" t="s">
        <v>1229</v>
      </c>
    </row>
    <row r="43" spans="3:11" x14ac:dyDescent="0.45">
      <c r="C43" s="880"/>
      <c r="D43" s="410" t="s">
        <v>1247</v>
      </c>
      <c r="E43" s="302">
        <v>64</v>
      </c>
      <c r="F43" s="302"/>
      <c r="G43" s="881" t="s">
        <v>1144</v>
      </c>
      <c r="H43" s="410"/>
    </row>
    <row r="44" spans="3:11" x14ac:dyDescent="0.45">
      <c r="C44" s="880"/>
      <c r="D44" s="410" t="s">
        <v>1254</v>
      </c>
      <c r="E44" s="302">
        <v>32</v>
      </c>
      <c r="F44" s="302"/>
      <c r="G44" s="881" t="s">
        <v>1144</v>
      </c>
      <c r="H44" s="410"/>
    </row>
    <row r="45" spans="3:11" x14ac:dyDescent="0.45">
      <c r="C45" s="880"/>
      <c r="D45" s="410" t="s">
        <v>1257</v>
      </c>
      <c r="E45" s="302">
        <v>16</v>
      </c>
      <c r="F45" s="302"/>
      <c r="G45" s="881"/>
      <c r="H45" s="410"/>
    </row>
    <row r="46" spans="3:11" x14ac:dyDescent="0.45">
      <c r="C46" s="885"/>
      <c r="D46" s="874" t="s">
        <v>1243</v>
      </c>
      <c r="E46" s="883">
        <v>16</v>
      </c>
      <c r="F46" s="883"/>
      <c r="G46" s="884" t="s">
        <v>1239</v>
      </c>
      <c r="H46" s="876"/>
    </row>
    <row r="47" spans="3:11" x14ac:dyDescent="0.45">
      <c r="C47" s="885"/>
      <c r="D47" s="874" t="s">
        <v>1240</v>
      </c>
      <c r="E47" s="883">
        <v>16</v>
      </c>
      <c r="F47" s="883"/>
      <c r="G47" s="884" t="s">
        <v>1239</v>
      </c>
      <c r="H47" s="876"/>
    </row>
    <row r="48" spans="3:11" x14ac:dyDescent="0.45">
      <c r="C48" s="885"/>
      <c r="D48" s="874" t="s">
        <v>1235</v>
      </c>
      <c r="E48" s="883">
        <v>32</v>
      </c>
      <c r="F48" s="883"/>
      <c r="G48" s="884" t="s">
        <v>1239</v>
      </c>
      <c r="H48" s="876"/>
    </row>
    <row r="49" spans="2:11" x14ac:dyDescent="0.45">
      <c r="C49" s="885"/>
      <c r="D49" s="874" t="s">
        <v>1244</v>
      </c>
      <c r="E49" s="883">
        <v>32</v>
      </c>
      <c r="F49" s="883"/>
      <c r="G49" s="884" t="s">
        <v>1239</v>
      </c>
      <c r="H49" s="876"/>
    </row>
    <row r="50" spans="2:11" x14ac:dyDescent="0.45">
      <c r="C50" s="879"/>
      <c r="D50" s="7"/>
      <c r="E50" s="287"/>
      <c r="F50" s="287"/>
      <c r="G50" s="7"/>
    </row>
    <row r="51" spans="2:11" x14ac:dyDescent="0.45">
      <c r="C51" s="880" t="s">
        <v>1234</v>
      </c>
      <c r="D51" s="410" t="s">
        <v>1251</v>
      </c>
      <c r="E51" s="302">
        <v>64</v>
      </c>
      <c r="F51" s="302"/>
      <c r="G51" s="881" t="s">
        <v>1144</v>
      </c>
      <c r="H51" s="410" t="s">
        <v>1229</v>
      </c>
      <c r="K51" s="12"/>
    </row>
    <row r="52" spans="2:11" x14ac:dyDescent="0.45">
      <c r="C52" s="880"/>
      <c r="D52" s="410" t="s">
        <v>1253</v>
      </c>
      <c r="E52" s="302">
        <v>32</v>
      </c>
      <c r="F52" s="302"/>
      <c r="G52" s="881" t="s">
        <v>1144</v>
      </c>
      <c r="H52" s="410"/>
      <c r="K52" s="12"/>
    </row>
    <row r="53" spans="2:11" x14ac:dyDescent="0.45">
      <c r="C53" s="880"/>
      <c r="D53" s="410" t="s">
        <v>1252</v>
      </c>
      <c r="E53" s="302">
        <v>32</v>
      </c>
      <c r="F53" s="302"/>
      <c r="G53" s="881" t="s">
        <v>1144</v>
      </c>
      <c r="H53" s="410"/>
      <c r="K53" s="12"/>
    </row>
    <row r="54" spans="2:11" x14ac:dyDescent="0.45">
      <c r="C54" s="882"/>
      <c r="D54" s="874" t="s">
        <v>1235</v>
      </c>
      <c r="E54" s="883">
        <v>16</v>
      </c>
      <c r="F54" s="883"/>
      <c r="G54" s="884" t="s">
        <v>1239</v>
      </c>
      <c r="H54" s="876"/>
      <c r="K54" s="12"/>
    </row>
    <row r="55" spans="2:11" x14ac:dyDescent="0.45">
      <c r="C55" s="882"/>
      <c r="D55" s="874" t="s">
        <v>1244</v>
      </c>
      <c r="E55" s="883">
        <v>16</v>
      </c>
      <c r="F55" s="883"/>
      <c r="G55" s="884" t="s">
        <v>1239</v>
      </c>
      <c r="H55" s="876"/>
      <c r="K55" s="12"/>
    </row>
    <row r="56" spans="2:11" x14ac:dyDescent="0.45">
      <c r="C56" s="882"/>
      <c r="D56" s="874" t="s">
        <v>1240</v>
      </c>
      <c r="E56" s="883">
        <v>16</v>
      </c>
      <c r="F56" s="883"/>
      <c r="G56" s="884" t="s">
        <v>1239</v>
      </c>
      <c r="H56" s="876"/>
      <c r="K56" s="12"/>
    </row>
    <row r="57" spans="2:11" x14ac:dyDescent="0.45">
      <c r="C57" s="882"/>
      <c r="D57" s="874" t="s">
        <v>1246</v>
      </c>
      <c r="E57" s="883">
        <v>16</v>
      </c>
      <c r="F57" s="883"/>
      <c r="G57" s="884" t="s">
        <v>1239</v>
      </c>
      <c r="H57" s="876"/>
    </row>
    <row r="58" spans="2:11" x14ac:dyDescent="0.45">
      <c r="C58" s="879"/>
      <c r="E58" s="287"/>
      <c r="F58" s="287"/>
      <c r="G58" s="7"/>
    </row>
    <row r="59" spans="2:11" x14ac:dyDescent="0.45">
      <c r="B59" s="1" t="s">
        <v>1258</v>
      </c>
      <c r="C59" s="880" t="s">
        <v>1256</v>
      </c>
      <c r="D59" s="410" t="s">
        <v>1257</v>
      </c>
      <c r="E59" s="302">
        <v>64</v>
      </c>
      <c r="F59" s="302"/>
      <c r="G59" s="881" t="s">
        <v>1144</v>
      </c>
      <c r="H59" s="410" t="s">
        <v>1229</v>
      </c>
      <c r="K59" s="12"/>
    </row>
    <row r="60" spans="2:11" x14ac:dyDescent="0.45">
      <c r="C60" s="880"/>
      <c r="D60" s="410" t="s">
        <v>1270</v>
      </c>
      <c r="E60" s="302">
        <v>0</v>
      </c>
      <c r="F60" s="302"/>
      <c r="G60" s="881"/>
      <c r="H60" s="410"/>
      <c r="K60" s="12"/>
    </row>
    <row r="61" spans="2:11" x14ac:dyDescent="0.45">
      <c r="C61" s="882"/>
      <c r="D61" s="874" t="s">
        <v>1235</v>
      </c>
      <c r="E61" s="883">
        <v>16</v>
      </c>
      <c r="F61" s="883"/>
      <c r="G61" s="884" t="s">
        <v>1239</v>
      </c>
      <c r="H61" s="876"/>
      <c r="K61" s="12"/>
    </row>
    <row r="62" spans="2:11" x14ac:dyDescent="0.45">
      <c r="C62" s="882"/>
      <c r="D62" s="874" t="s">
        <v>1244</v>
      </c>
      <c r="E62" s="883">
        <v>16</v>
      </c>
      <c r="F62" s="883"/>
      <c r="G62" s="884" t="s">
        <v>1239</v>
      </c>
      <c r="H62" s="876"/>
      <c r="K62" s="12"/>
    </row>
    <row r="63" spans="2:11" x14ac:dyDescent="0.45">
      <c r="C63" s="879"/>
      <c r="E63" s="287"/>
      <c r="F63" s="287"/>
      <c r="G63" s="7"/>
    </row>
    <row r="64" spans="2:11" x14ac:dyDescent="0.45">
      <c r="C64" s="880" t="s">
        <v>1271</v>
      </c>
      <c r="D64" s="410" t="s">
        <v>1260</v>
      </c>
      <c r="E64" s="302">
        <v>32</v>
      </c>
      <c r="F64" s="302"/>
      <c r="G64" s="881" t="s">
        <v>1144</v>
      </c>
      <c r="H64" s="410" t="s">
        <v>1229</v>
      </c>
    </row>
    <row r="65" spans="3:11" x14ac:dyDescent="0.45">
      <c r="C65" s="880"/>
      <c r="D65" s="410"/>
      <c r="E65" s="302">
        <v>0</v>
      </c>
      <c r="F65" s="302"/>
      <c r="G65" s="881"/>
      <c r="H65" s="410"/>
    </row>
    <row r="66" spans="3:11" x14ac:dyDescent="0.45">
      <c r="C66" s="882"/>
      <c r="D66" s="874" t="s">
        <v>1235</v>
      </c>
      <c r="E66" s="883">
        <v>16</v>
      </c>
      <c r="F66" s="883"/>
      <c r="G66" s="884" t="s">
        <v>1239</v>
      </c>
      <c r="H66" s="876"/>
    </row>
    <row r="67" spans="3:11" x14ac:dyDescent="0.45">
      <c r="C67" s="882"/>
      <c r="D67" s="874" t="s">
        <v>1244</v>
      </c>
      <c r="E67" s="883">
        <v>16</v>
      </c>
      <c r="F67" s="883"/>
      <c r="G67" s="884" t="s">
        <v>1239</v>
      </c>
      <c r="H67" s="876"/>
    </row>
    <row r="68" spans="3:11" x14ac:dyDescent="0.45">
      <c r="C68" s="879"/>
      <c r="E68" s="287"/>
      <c r="F68" s="287"/>
      <c r="G68" s="7"/>
    </row>
    <row r="69" spans="3:11" x14ac:dyDescent="0.45">
      <c r="C69" s="880" t="s">
        <v>600</v>
      </c>
      <c r="D69" s="410"/>
      <c r="E69" s="302">
        <v>64</v>
      </c>
      <c r="F69" s="302"/>
      <c r="G69" s="881" t="s">
        <v>1144</v>
      </c>
      <c r="H69" s="410" t="s">
        <v>1229</v>
      </c>
      <c r="K69" s="12"/>
    </row>
    <row r="70" spans="3:11" x14ac:dyDescent="0.45">
      <c r="C70" s="880"/>
      <c r="D70" s="410"/>
      <c r="E70" s="302">
        <v>64</v>
      </c>
      <c r="F70" s="302"/>
      <c r="G70" s="881"/>
      <c r="H70" s="410"/>
      <c r="K70" s="12"/>
    </row>
    <row r="71" spans="3:11" x14ac:dyDescent="0.45">
      <c r="C71" s="880"/>
      <c r="D71" s="410"/>
      <c r="E71" s="302"/>
      <c r="F71" s="302"/>
      <c r="G71" s="881"/>
      <c r="H71" s="410"/>
      <c r="K71" s="12"/>
    </row>
    <row r="72" spans="3:11" x14ac:dyDescent="0.45">
      <c r="C72" s="882"/>
      <c r="D72" s="874"/>
      <c r="E72" s="883">
        <v>16</v>
      </c>
      <c r="F72" s="883"/>
      <c r="G72" s="884" t="s">
        <v>1239</v>
      </c>
      <c r="H72" s="876"/>
      <c r="K72" s="12"/>
    </row>
    <row r="73" spans="3:11" x14ac:dyDescent="0.45">
      <c r="C73" s="882"/>
      <c r="D73" s="874"/>
      <c r="E73" s="883">
        <v>16</v>
      </c>
      <c r="F73" s="883"/>
      <c r="G73" s="884" t="s">
        <v>1239</v>
      </c>
      <c r="H73" s="876"/>
      <c r="K73" s="12"/>
    </row>
    <row r="74" spans="3:11" x14ac:dyDescent="0.45">
      <c r="C74" s="882"/>
      <c r="D74" s="874"/>
      <c r="E74" s="883">
        <v>16</v>
      </c>
      <c r="F74" s="883"/>
      <c r="G74" s="884" t="s">
        <v>1239</v>
      </c>
      <c r="H74" s="876"/>
      <c r="K74" s="12"/>
    </row>
    <row r="75" spans="3:11" x14ac:dyDescent="0.45">
      <c r="C75" s="882"/>
      <c r="D75" s="874"/>
      <c r="E75" s="883">
        <v>16</v>
      </c>
      <c r="F75" s="883"/>
      <c r="G75" s="884" t="s">
        <v>1239</v>
      </c>
      <c r="H75" s="876"/>
    </row>
    <row r="76" spans="3:11" x14ac:dyDescent="0.45">
      <c r="C76" s="879"/>
      <c r="E76" s="287"/>
      <c r="F76" s="287"/>
      <c r="G76" s="7"/>
    </row>
    <row r="77" spans="3:11" x14ac:dyDescent="0.45">
      <c r="C77" s="879"/>
      <c r="E77" s="287"/>
      <c r="F77" s="287"/>
      <c r="G77" s="7"/>
    </row>
    <row r="78" spans="3:11" x14ac:dyDescent="0.45">
      <c r="C78" s="879"/>
      <c r="D78" s="7" t="s">
        <v>1250</v>
      </c>
      <c r="E78" s="287"/>
      <c r="F78" s="287"/>
      <c r="G78" s="7"/>
    </row>
    <row r="79" spans="3:11" x14ac:dyDescent="0.45">
      <c r="C79" s="880" t="s">
        <v>682</v>
      </c>
      <c r="D79" s="7"/>
      <c r="E79" s="287"/>
      <c r="F79" s="287"/>
      <c r="G79" s="7"/>
      <c r="K79" s="12"/>
    </row>
    <row r="80" spans="3:11" x14ac:dyDescent="0.45">
      <c r="C80" s="879"/>
      <c r="D80" s="7"/>
      <c r="E80" s="287"/>
      <c r="F80" s="287"/>
      <c r="G80" s="7"/>
    </row>
    <row r="81" spans="3:11" x14ac:dyDescent="0.45">
      <c r="C81" s="880" t="s">
        <v>606</v>
      </c>
      <c r="D81" s="7"/>
      <c r="E81" s="287"/>
      <c r="F81" s="287"/>
      <c r="G81" s="7"/>
      <c r="K81" s="12"/>
    </row>
    <row r="82" spans="3:11" x14ac:dyDescent="0.45">
      <c r="C82" s="879"/>
      <c r="D82" s="7"/>
      <c r="E82" s="287"/>
      <c r="F82" s="287"/>
      <c r="G82" s="7"/>
    </row>
    <row r="83" spans="3:11" x14ac:dyDescent="0.45">
      <c r="C83" s="880" t="s">
        <v>1248</v>
      </c>
      <c r="D83" s="7"/>
      <c r="E83" s="287"/>
      <c r="F83" s="287"/>
      <c r="G83" s="7"/>
      <c r="K83" s="12"/>
    </row>
    <row r="84" spans="3:11" x14ac:dyDescent="0.45">
      <c r="C84" s="879"/>
      <c r="D84" s="7"/>
      <c r="E84" s="287"/>
      <c r="F84" s="287"/>
      <c r="G84" s="7"/>
    </row>
    <row r="85" spans="3:11" x14ac:dyDescent="0.45">
      <c r="C85" s="880" t="s">
        <v>106</v>
      </c>
      <c r="D85" s="7"/>
      <c r="E85" s="287"/>
      <c r="F85" s="287"/>
      <c r="G85" s="7"/>
      <c r="K85" s="12"/>
    </row>
    <row r="86" spans="3:11" x14ac:dyDescent="0.45">
      <c r="C86" s="879"/>
      <c r="D86" s="7"/>
      <c r="E86" s="287"/>
      <c r="F86" s="287"/>
      <c r="G86" s="7"/>
    </row>
    <row r="87" spans="3:11" x14ac:dyDescent="0.45">
      <c r="C87" s="880" t="s">
        <v>104</v>
      </c>
      <c r="D87" s="7"/>
      <c r="E87" s="287"/>
      <c r="F87" s="287"/>
      <c r="G87" s="7"/>
      <c r="K87" s="12"/>
    </row>
    <row r="88" spans="3:11" x14ac:dyDescent="0.45">
      <c r="C88" s="879"/>
      <c r="D88" s="7"/>
      <c r="E88" s="287"/>
      <c r="F88" s="287"/>
      <c r="G88" s="7"/>
    </row>
    <row r="89" spans="3:11" x14ac:dyDescent="0.45">
      <c r="C89" s="880" t="s">
        <v>606</v>
      </c>
      <c r="D89" s="7"/>
      <c r="E89" s="287"/>
      <c r="F89" s="287"/>
      <c r="G89" s="7"/>
      <c r="K89" s="12"/>
    </row>
    <row r="90" spans="3:11" x14ac:dyDescent="0.45">
      <c r="C90" s="879"/>
      <c r="D90" s="7"/>
      <c r="E90" s="287"/>
      <c r="F90" s="287"/>
      <c r="G90" s="7"/>
    </row>
    <row r="91" spans="3:11" x14ac:dyDescent="0.45">
      <c r="C91" s="880" t="s">
        <v>108</v>
      </c>
      <c r="D91" s="7"/>
      <c r="E91" s="287"/>
      <c r="F91" s="287"/>
      <c r="G91" s="7"/>
      <c r="K91" s="12"/>
    </row>
    <row r="92" spans="3:11" x14ac:dyDescent="0.45">
      <c r="C92" s="879"/>
      <c r="D92" s="7"/>
      <c r="E92" s="287"/>
      <c r="F92" s="287"/>
      <c r="G92" s="7"/>
    </row>
    <row r="93" spans="3:11" x14ac:dyDescent="0.45">
      <c r="C93" s="880" t="s">
        <v>605</v>
      </c>
      <c r="D93" s="7"/>
      <c r="E93" s="287"/>
      <c r="F93" s="287"/>
      <c r="G93" s="7"/>
      <c r="K93" s="12"/>
    </row>
    <row r="94" spans="3:11" x14ac:dyDescent="0.45">
      <c r="C94" s="880"/>
      <c r="D94" s="7"/>
      <c r="E94" s="287"/>
      <c r="F94" s="287"/>
      <c r="G94" s="7"/>
      <c r="K94" s="12"/>
    </row>
    <row r="95" spans="3:11" x14ac:dyDescent="0.45">
      <c r="C95" s="880" t="s">
        <v>1242</v>
      </c>
      <c r="D95" s="7" t="s">
        <v>1238</v>
      </c>
      <c r="E95" s="287"/>
      <c r="F95" s="287"/>
      <c r="G95" s="7"/>
    </row>
    <row r="96" spans="3:11" x14ac:dyDescent="0.45">
      <c r="C96" s="879"/>
      <c r="D96" s="7"/>
      <c r="E96" s="287"/>
      <c r="F96" s="287"/>
      <c r="G96" s="7"/>
      <c r="J96" s="1">
        <f>SUM(J4:J95)</f>
        <v>0</v>
      </c>
    </row>
    <row r="97" spans="3:8" x14ac:dyDescent="0.45">
      <c r="C97" s="880" t="s">
        <v>1233</v>
      </c>
      <c r="D97" s="410"/>
      <c r="E97" s="302"/>
      <c r="F97" s="302"/>
      <c r="G97" s="881" t="s">
        <v>1144</v>
      </c>
      <c r="H97" s="410" t="s">
        <v>1229</v>
      </c>
    </row>
    <row r="98" spans="3:8" x14ac:dyDescent="0.45">
      <c r="C98" s="882"/>
      <c r="D98" s="874" t="s">
        <v>1243</v>
      </c>
      <c r="E98" s="883">
        <v>8</v>
      </c>
      <c r="F98" s="883"/>
      <c r="G98" s="884" t="s">
        <v>1239</v>
      </c>
      <c r="H98" s="876"/>
    </row>
    <row r="99" spans="3:8" x14ac:dyDescent="0.45">
      <c r="C99" s="882"/>
      <c r="D99" s="874" t="s">
        <v>1235</v>
      </c>
      <c r="E99" s="883">
        <v>8</v>
      </c>
      <c r="F99" s="883"/>
      <c r="G99" s="884" t="s">
        <v>1239</v>
      </c>
      <c r="H99" s="876"/>
    </row>
    <row r="100" spans="3:8" x14ac:dyDescent="0.45">
      <c r="C100" s="882"/>
      <c r="D100" s="874" t="s">
        <v>1244</v>
      </c>
      <c r="E100" s="883">
        <v>8</v>
      </c>
      <c r="F100" s="883"/>
      <c r="G100" s="884" t="s">
        <v>1239</v>
      </c>
      <c r="H100" s="876"/>
    </row>
    <row r="101" spans="3:8" x14ac:dyDescent="0.45">
      <c r="C101" s="872" t="s">
        <v>1232</v>
      </c>
    </row>
    <row r="103" spans="3:8" x14ac:dyDescent="0.45">
      <c r="C103" s="872" t="s">
        <v>1230</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3055-B4DA-4EAA-9C7C-95E68E31F41C}">
  <dimension ref="C2:R43"/>
  <sheetViews>
    <sheetView showGridLines="0" showRowColHeaders="0" topLeftCell="A9" workbookViewId="0">
      <selection activeCell="M10" sqref="M10"/>
    </sheetView>
  </sheetViews>
  <sheetFormatPr defaultColWidth="8.88671875" defaultRowHeight="15.6" x14ac:dyDescent="0.3"/>
  <cols>
    <col min="1" max="2" width="8.88671875" style="1"/>
    <col min="3" max="3" width="19.21875" style="1" customWidth="1"/>
    <col min="4" max="4" width="16.33203125" style="1" customWidth="1"/>
    <col min="5" max="14" width="8.88671875" style="1"/>
    <col min="15" max="15" width="18.109375" style="1" bestFit="1" customWidth="1"/>
    <col min="16" max="16" width="68.33203125" style="1" bestFit="1" customWidth="1"/>
    <col min="17" max="17" width="8.88671875" style="1"/>
    <col min="18" max="18" width="14.109375" style="1" bestFit="1" customWidth="1"/>
    <col min="19" max="16384" width="8.88671875" style="1"/>
  </cols>
  <sheetData>
    <row r="2" spans="3:5" ht="21" x14ac:dyDescent="0.4">
      <c r="C2" s="31" t="s">
        <v>903</v>
      </c>
    </row>
    <row r="3" spans="3:5" ht="21" x14ac:dyDescent="0.4">
      <c r="C3" s="427" t="s">
        <v>909</v>
      </c>
    </row>
    <row r="5" spans="3:5" x14ac:dyDescent="0.3">
      <c r="D5" s="1" t="s">
        <v>904</v>
      </c>
    </row>
    <row r="7" spans="3:5" x14ac:dyDescent="0.3">
      <c r="C7" s="1">
        <v>1</v>
      </c>
      <c r="D7" s="71">
        <v>256</v>
      </c>
      <c r="E7" s="1" t="s">
        <v>847</v>
      </c>
    </row>
    <row r="8" spans="3:5" x14ac:dyDescent="0.3">
      <c r="C8" s="1">
        <v>2</v>
      </c>
      <c r="D8" s="71">
        <f>'UCS™ TWF Ťenders'!L110</f>
        <v>74</v>
      </c>
      <c r="E8" s="1" t="s">
        <v>858</v>
      </c>
    </row>
    <row r="9" spans="3:5" x14ac:dyDescent="0.3">
      <c r="C9" s="1">
        <v>3</v>
      </c>
      <c r="D9" s="71">
        <v>4</v>
      </c>
      <c r="E9" s="1" t="s">
        <v>859</v>
      </c>
    </row>
    <row r="10" spans="3:5" x14ac:dyDescent="0.3">
      <c r="C10" s="1">
        <v>4</v>
      </c>
      <c r="D10" s="71">
        <f>D8/D9</f>
        <v>18.5</v>
      </c>
      <c r="E10" s="1" t="s">
        <v>848</v>
      </c>
    </row>
    <row r="11" spans="3:5" x14ac:dyDescent="0.3">
      <c r="C11" s="1">
        <v>5</v>
      </c>
      <c r="D11" s="71">
        <f>D7</f>
        <v>256</v>
      </c>
      <c r="E11" s="1" t="s">
        <v>905</v>
      </c>
    </row>
    <row r="12" spans="3:5" s="322" customFormat="1" ht="18.600000000000001" thickBot="1" x14ac:dyDescent="0.4">
      <c r="C12" s="322">
        <v>6</v>
      </c>
      <c r="D12" s="634">
        <f>D10*D11</f>
        <v>4736</v>
      </c>
      <c r="E12" s="322" t="s">
        <v>849</v>
      </c>
    </row>
    <row r="13" spans="3:5" x14ac:dyDescent="0.3">
      <c r="D13" s="479">
        <v>2</v>
      </c>
    </row>
    <row r="14" spans="3:5" ht="16.2" thickBot="1" x14ac:dyDescent="0.35">
      <c r="C14" s="1">
        <v>7</v>
      </c>
      <c r="D14" s="634">
        <f>D12*D13</f>
        <v>9472</v>
      </c>
      <c r="E14" s="1" t="s">
        <v>956</v>
      </c>
    </row>
    <row r="15" spans="3:5" x14ac:dyDescent="0.3">
      <c r="D15" s="71"/>
    </row>
    <row r="16" spans="3:5" ht="16.2" thickBot="1" x14ac:dyDescent="0.35">
      <c r="C16" s="1">
        <v>8</v>
      </c>
      <c r="D16" s="635">
        <f>D12+D14</f>
        <v>14208</v>
      </c>
      <c r="E16" s="1" t="s">
        <v>906</v>
      </c>
    </row>
    <row r="17" spans="4:18" ht="16.2" thickTop="1" x14ac:dyDescent="0.3">
      <c r="D17" s="479">
        <v>0</v>
      </c>
      <c r="E17" s="1" t="s">
        <v>850</v>
      </c>
    </row>
    <row r="18" spans="4:18" ht="16.2" thickBot="1" x14ac:dyDescent="0.35">
      <c r="D18" s="634">
        <f>D16*D17</f>
        <v>0</v>
      </c>
      <c r="E18" s="575">
        <v>2028</v>
      </c>
    </row>
    <row r="19" spans="4:18" x14ac:dyDescent="0.3">
      <c r="D19" s="479">
        <v>2</v>
      </c>
      <c r="E19" s="1" t="s">
        <v>851</v>
      </c>
    </row>
    <row r="20" spans="4:18" ht="16.2" thickBot="1" x14ac:dyDescent="0.35">
      <c r="D20" s="634">
        <f>D18*D19</f>
        <v>0</v>
      </c>
    </row>
    <row r="21" spans="4:18" x14ac:dyDescent="0.3">
      <c r="D21" s="479">
        <v>0.2</v>
      </c>
      <c r="E21" s="1" t="s">
        <v>907</v>
      </c>
    </row>
    <row r="22" spans="4:18" x14ac:dyDescent="0.3">
      <c r="D22" s="636">
        <f>D16*D21</f>
        <v>2841.6000000000004</v>
      </c>
    </row>
    <row r="23" spans="4:18" ht="16.2" thickBot="1" x14ac:dyDescent="0.35">
      <c r="D23" s="635">
        <f>D16+D21</f>
        <v>14208.2</v>
      </c>
      <c r="E23" s="546" t="s">
        <v>908</v>
      </c>
      <c r="F23" s="546"/>
      <c r="G23" s="546"/>
      <c r="H23" s="546"/>
      <c r="I23" s="546"/>
      <c r="J23" s="546"/>
      <c r="K23" s="546"/>
      <c r="L23" s="546"/>
      <c r="M23" s="546"/>
      <c r="N23" s="546"/>
      <c r="O23" s="639">
        <f>D23</f>
        <v>14208.2</v>
      </c>
      <c r="P23" s="1" t="s">
        <v>910</v>
      </c>
    </row>
    <row r="24" spans="4:18" ht="16.2" thickTop="1" x14ac:dyDescent="0.3">
      <c r="D24" s="76">
        <v>4</v>
      </c>
      <c r="N24" s="38" t="s">
        <v>854</v>
      </c>
      <c r="O24" s="640">
        <v>31</v>
      </c>
      <c r="P24" s="1" t="s">
        <v>855</v>
      </c>
    </row>
    <row r="25" spans="4:18" ht="16.2" thickBot="1" x14ac:dyDescent="0.35">
      <c r="D25" s="351">
        <f>D23*D24</f>
        <v>56832.800000000003</v>
      </c>
      <c r="E25" s="76" t="s">
        <v>291</v>
      </c>
      <c r="F25" s="76"/>
      <c r="G25" s="76"/>
      <c r="H25" s="76"/>
      <c r="O25" s="641">
        <f>O23*O24</f>
        <v>440454.2</v>
      </c>
    </row>
    <row r="26" spans="4:18" x14ac:dyDescent="0.3">
      <c r="D26" s="76">
        <v>4</v>
      </c>
      <c r="O26" s="642">
        <v>0.5</v>
      </c>
      <c r="P26" s="1" t="s">
        <v>860</v>
      </c>
    </row>
    <row r="27" spans="4:18" ht="16.2" thickBot="1" x14ac:dyDescent="0.35">
      <c r="D27" s="351">
        <f>D25*D26</f>
        <v>227331.20000000001</v>
      </c>
      <c r="E27" s="76" t="s">
        <v>852</v>
      </c>
      <c r="F27" s="76"/>
      <c r="G27" s="76"/>
      <c r="H27" s="76"/>
      <c r="N27" s="38" t="s">
        <v>915</v>
      </c>
      <c r="O27" s="641">
        <f>O25*O26</f>
        <v>220227.1</v>
      </c>
      <c r="Q27" s="1">
        <v>3</v>
      </c>
      <c r="R27" s="29">
        <f>O27*Q27</f>
        <v>660681.30000000005</v>
      </c>
    </row>
    <row r="28" spans="4:18" x14ac:dyDescent="0.3">
      <c r="D28" s="77" t="s">
        <v>853</v>
      </c>
      <c r="M28" s="18">
        <v>1</v>
      </c>
      <c r="N28" s="18">
        <f>M28+O28</f>
        <v>1.5</v>
      </c>
      <c r="O28" s="642">
        <v>0.5</v>
      </c>
      <c r="P28" s="1" t="s">
        <v>862</v>
      </c>
    </row>
    <row r="29" spans="4:18" ht="16.2" thickBot="1" x14ac:dyDescent="0.35">
      <c r="D29" s="351">
        <f>D27</f>
        <v>227331.20000000001</v>
      </c>
      <c r="E29" s="76" t="s">
        <v>856</v>
      </c>
      <c r="F29" s="76"/>
      <c r="G29" s="76"/>
      <c r="H29" s="76"/>
      <c r="I29" s="76"/>
      <c r="J29" s="76"/>
      <c r="K29" s="76"/>
      <c r="L29" s="76"/>
      <c r="O29" s="643">
        <f>O27*N28</f>
        <v>330340.65000000002</v>
      </c>
    </row>
    <row r="30" spans="4:18" x14ac:dyDescent="0.3">
      <c r="D30" s="76"/>
      <c r="M30" s="18">
        <v>1</v>
      </c>
      <c r="N30" s="18">
        <f>M30+O30</f>
        <v>1.25</v>
      </c>
      <c r="O30" s="642">
        <v>0.25</v>
      </c>
      <c r="P30" s="1" t="s">
        <v>911</v>
      </c>
    </row>
    <row r="31" spans="4:18" ht="18.600000000000001" thickBot="1" x14ac:dyDescent="0.4">
      <c r="D31" s="351">
        <f>D25</f>
        <v>56832.800000000003</v>
      </c>
      <c r="E31" s="76" t="s">
        <v>982</v>
      </c>
      <c r="F31" s="76"/>
      <c r="G31" s="76"/>
      <c r="H31" s="76"/>
      <c r="L31" s="547"/>
      <c r="M31" s="547"/>
      <c r="N31" s="548" t="s">
        <v>861</v>
      </c>
      <c r="O31" s="549">
        <f>O29*N30</f>
        <v>412925.8125</v>
      </c>
    </row>
    <row r="32" spans="4:18" ht="16.2" thickTop="1" x14ac:dyDescent="0.3">
      <c r="D32" s="71" t="s">
        <v>981</v>
      </c>
      <c r="L32" s="541"/>
      <c r="N32" s="612">
        <v>4</v>
      </c>
      <c r="O32" s="633">
        <f>O31*N32</f>
        <v>1651703.25</v>
      </c>
    </row>
    <row r="33" spans="3:16" x14ac:dyDescent="0.3">
      <c r="C33" s="38" t="s">
        <v>984</v>
      </c>
      <c r="D33" s="637">
        <f>D31</f>
        <v>56832.800000000003</v>
      </c>
      <c r="K33" s="38" t="s">
        <v>916</v>
      </c>
      <c r="L33" s="75">
        <f>O24*N28*N30</f>
        <v>58.125</v>
      </c>
      <c r="O33" s="552">
        <f>D25*L33</f>
        <v>3303406.5</v>
      </c>
      <c r="P33" s="76" t="s">
        <v>291</v>
      </c>
    </row>
    <row r="34" spans="3:16" x14ac:dyDescent="0.3">
      <c r="C34" s="38" t="s">
        <v>983</v>
      </c>
      <c r="D34" s="637">
        <f>D33*2</f>
        <v>113665.60000000001</v>
      </c>
      <c r="L34" s="541"/>
      <c r="O34" s="75"/>
    </row>
    <row r="35" spans="3:16" x14ac:dyDescent="0.3">
      <c r="C35" s="1" t="s">
        <v>985</v>
      </c>
      <c r="D35" s="638">
        <f>D33+D34</f>
        <v>170498.40000000002</v>
      </c>
      <c r="E35" s="541"/>
      <c r="F35" s="541"/>
      <c r="G35" s="541"/>
      <c r="H35" s="541"/>
      <c r="I35" s="541"/>
      <c r="J35" s="541"/>
      <c r="K35" s="541"/>
      <c r="L35" s="541"/>
      <c r="M35" s="541"/>
      <c r="N35" s="541"/>
      <c r="O35" s="552">
        <f>D27*L33</f>
        <v>13213626</v>
      </c>
      <c r="P35" s="76" t="s">
        <v>912</v>
      </c>
    </row>
    <row r="36" spans="3:16" x14ac:dyDescent="0.3">
      <c r="D36" s="553"/>
      <c r="O36" s="75"/>
    </row>
    <row r="37" spans="3:16" x14ac:dyDescent="0.3">
      <c r="D37" s="181" t="s">
        <v>863</v>
      </c>
      <c r="E37" s="181"/>
      <c r="F37" s="181"/>
      <c r="O37" s="552">
        <f>D29*L33</f>
        <v>13213626</v>
      </c>
      <c r="P37" s="76" t="s">
        <v>913</v>
      </c>
    </row>
    <row r="38" spans="3:16" x14ac:dyDescent="0.3">
      <c r="D38" s="181" t="s">
        <v>864</v>
      </c>
      <c r="E38" s="181"/>
      <c r="F38" s="181"/>
      <c r="I38" s="18"/>
      <c r="O38" s="541"/>
    </row>
    <row r="39" spans="3:16" x14ac:dyDescent="0.3">
      <c r="D39" s="181" t="s">
        <v>865</v>
      </c>
      <c r="E39" s="181"/>
      <c r="F39" s="181"/>
      <c r="I39" s="18"/>
      <c r="O39" s="552">
        <f>O33</f>
        <v>3303406.5</v>
      </c>
      <c r="P39" s="76" t="s">
        <v>876</v>
      </c>
    </row>
    <row r="40" spans="3:16" x14ac:dyDescent="0.3">
      <c r="D40" s="181" t="s">
        <v>866</v>
      </c>
      <c r="E40" s="181"/>
      <c r="F40" s="181"/>
      <c r="P40" s="76" t="s">
        <v>877</v>
      </c>
    </row>
    <row r="41" spans="3:16" x14ac:dyDescent="0.3">
      <c r="O41" s="552">
        <f>O39</f>
        <v>3303406.5</v>
      </c>
      <c r="P41" s="76" t="s">
        <v>914</v>
      </c>
    </row>
    <row r="42" spans="3:16" x14ac:dyDescent="0.3">
      <c r="O42" s="552">
        <f>O41*2</f>
        <v>6606813</v>
      </c>
      <c r="P42" s="76" t="s">
        <v>878</v>
      </c>
    </row>
    <row r="43" spans="3:16" x14ac:dyDescent="0.3">
      <c r="O43" s="552">
        <f>SUM(O41:O42)</f>
        <v>9910219.5</v>
      </c>
      <c r="P43" s="75" t="s">
        <v>879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4811B-D4B0-49CE-B1AD-9F7A5BA4A15E}">
  <dimension ref="A2:Y29"/>
  <sheetViews>
    <sheetView topLeftCell="D1" workbookViewId="0">
      <selection activeCell="I8" sqref="I8"/>
    </sheetView>
  </sheetViews>
  <sheetFormatPr defaultColWidth="8.88671875" defaultRowHeight="15.6" x14ac:dyDescent="0.3"/>
  <cols>
    <col min="1" max="2" width="8.88671875" style="1"/>
    <col min="3" max="3" width="14" style="1" bestFit="1" customWidth="1"/>
    <col min="4" max="4" width="21.33203125" style="1" bestFit="1" customWidth="1"/>
    <col min="5" max="5" width="5.33203125" style="1" customWidth="1"/>
    <col min="6" max="6" width="25.5546875" style="1" bestFit="1" customWidth="1"/>
    <col min="7" max="8" width="5.44140625" style="1" customWidth="1"/>
    <col min="9" max="9" width="49.6640625" style="1" customWidth="1"/>
    <col min="10" max="10" width="4.33203125" style="1" customWidth="1"/>
    <col min="11" max="11" width="27.6640625" style="1" customWidth="1"/>
    <col min="12" max="12" width="4" style="1" customWidth="1"/>
    <col min="13" max="13" width="28.109375" style="1" bestFit="1" customWidth="1"/>
    <col min="14" max="16" width="4.6640625" style="1" customWidth="1"/>
    <col min="17" max="17" width="26.88671875" style="1" bestFit="1" customWidth="1"/>
    <col min="18" max="21" width="8.88671875" style="1"/>
    <col min="22" max="22" width="30.109375" style="1" bestFit="1" customWidth="1"/>
    <col min="23" max="23" width="33" style="1" bestFit="1" customWidth="1"/>
    <col min="24" max="24" width="8.88671875" style="1"/>
    <col min="25" max="25" width="20.6640625" style="1" bestFit="1" customWidth="1"/>
    <col min="26" max="16384" width="8.88671875" style="1"/>
  </cols>
  <sheetData>
    <row r="2" spans="2:22" x14ac:dyDescent="0.3">
      <c r="B2" s="1" t="s">
        <v>312</v>
      </c>
    </row>
    <row r="3" spans="2:22" x14ac:dyDescent="0.3">
      <c r="D3" s="1" t="s">
        <v>358</v>
      </c>
      <c r="G3" s="88"/>
      <c r="H3" s="88"/>
      <c r="I3" s="88" t="s">
        <v>359</v>
      </c>
      <c r="J3" s="88"/>
      <c r="K3" s="88"/>
      <c r="L3" s="88"/>
      <c r="M3" s="1" t="s">
        <v>346</v>
      </c>
      <c r="P3" s="92"/>
      <c r="Q3" s="92" t="s">
        <v>339</v>
      </c>
    </row>
    <row r="4" spans="2:22" x14ac:dyDescent="0.3">
      <c r="D4" s="1" t="s">
        <v>314</v>
      </c>
      <c r="G4" s="88"/>
      <c r="L4" s="191"/>
      <c r="M4" s="192">
        <f>I20</f>
        <v>16492674416.639999</v>
      </c>
      <c r="N4" s="79"/>
      <c r="P4" s="92"/>
      <c r="Q4" s="18">
        <v>0.25</v>
      </c>
      <c r="R4" s="1" t="s">
        <v>340</v>
      </c>
      <c r="T4" s="1">
        <v>2021</v>
      </c>
      <c r="U4" s="186">
        <v>0.01</v>
      </c>
      <c r="V4" s="2">
        <f>Q16*U4</f>
        <v>483183.82079999999</v>
      </c>
    </row>
    <row r="5" spans="2:22" x14ac:dyDescent="0.3">
      <c r="C5" s="1" t="s">
        <v>315</v>
      </c>
      <c r="D5" s="113">
        <v>0.125</v>
      </c>
      <c r="E5" s="113"/>
      <c r="G5" s="88"/>
      <c r="I5" s="1" t="s">
        <v>969</v>
      </c>
      <c r="L5" s="191"/>
      <c r="N5" s="75"/>
      <c r="P5" s="92"/>
      <c r="Q5" s="1" t="s">
        <v>341</v>
      </c>
      <c r="T5" s="1">
        <f t="shared" ref="T5:T16" si="0">T4+1</f>
        <v>2022</v>
      </c>
      <c r="U5" s="186">
        <v>0.02</v>
      </c>
      <c r="V5" s="2">
        <f>Q16*U5</f>
        <v>966367.64159999997</v>
      </c>
    </row>
    <row r="6" spans="2:22" x14ac:dyDescent="0.3">
      <c r="D6" s="30" t="s">
        <v>316</v>
      </c>
      <c r="E6" s="113"/>
      <c r="F6" s="1" t="s">
        <v>317</v>
      </c>
      <c r="G6" s="188"/>
      <c r="H6" s="188"/>
      <c r="I6" s="189">
        <f>'2024 - ŔÉŚ 1 SPIN-8 Tax 95% '!AN47</f>
        <v>5497558138.8800001</v>
      </c>
      <c r="J6" s="36"/>
      <c r="K6" s="34" t="s">
        <v>327</v>
      </c>
      <c r="L6" s="191"/>
      <c r="M6" s="1" t="s">
        <v>347</v>
      </c>
      <c r="N6" s="75"/>
      <c r="P6" s="92"/>
      <c r="Q6" s="18">
        <v>0.5</v>
      </c>
      <c r="T6" s="1">
        <f t="shared" si="0"/>
        <v>2023</v>
      </c>
      <c r="U6" s="186">
        <v>0.05</v>
      </c>
      <c r="V6" s="2">
        <f>Q16*U6</f>
        <v>2415919.1039999998</v>
      </c>
    </row>
    <row r="7" spans="2:22" x14ac:dyDescent="0.3">
      <c r="C7" s="1" t="s">
        <v>313</v>
      </c>
      <c r="D7" s="30">
        <v>6.25E-2</v>
      </c>
      <c r="E7" s="113"/>
      <c r="F7" s="185">
        <f>D5*D7</f>
        <v>7.8125E-3</v>
      </c>
      <c r="G7" s="188"/>
      <c r="I7" s="34" t="s">
        <v>328</v>
      </c>
      <c r="J7" s="34"/>
      <c r="L7" s="191"/>
      <c r="M7" s="18">
        <v>0.25</v>
      </c>
      <c r="N7" s="194"/>
      <c r="P7" s="92"/>
      <c r="Q7" s="195">
        <f>Q4*Q6</f>
        <v>0.125</v>
      </c>
      <c r="R7" s="1" t="s">
        <v>340</v>
      </c>
      <c r="T7" s="1">
        <f t="shared" si="0"/>
        <v>2024</v>
      </c>
      <c r="U7" s="186">
        <v>0.1</v>
      </c>
      <c r="V7" s="2">
        <f>Q16*U7</f>
        <v>4831838.2079999996</v>
      </c>
    </row>
    <row r="8" spans="2:22" x14ac:dyDescent="0.3">
      <c r="C8" s="1" t="s">
        <v>313</v>
      </c>
      <c r="D8" s="113">
        <v>0.125</v>
      </c>
      <c r="E8" s="113"/>
      <c r="F8" s="203">
        <f>D5*D8</f>
        <v>1.5625E-2</v>
      </c>
      <c r="G8" s="204"/>
      <c r="H8" s="34"/>
      <c r="I8" s="35">
        <f>I6*F8</f>
        <v>85899345.920000002</v>
      </c>
      <c r="J8" s="35"/>
      <c r="K8" s="34" t="s">
        <v>354</v>
      </c>
      <c r="L8" s="191"/>
      <c r="M8" s="79">
        <f>M4*M7</f>
        <v>4123168604.1599998</v>
      </c>
      <c r="N8" s="79"/>
      <c r="P8" s="92"/>
      <c r="Q8" s="1" t="s">
        <v>331</v>
      </c>
      <c r="T8" s="1">
        <f t="shared" si="0"/>
        <v>2025</v>
      </c>
      <c r="U8" s="186">
        <v>0.15</v>
      </c>
      <c r="V8" s="2">
        <f>Q16*U8</f>
        <v>7247757.3119999999</v>
      </c>
    </row>
    <row r="9" spans="2:22" x14ac:dyDescent="0.3">
      <c r="C9" s="1" t="s">
        <v>313</v>
      </c>
      <c r="D9" s="30">
        <v>0.25</v>
      </c>
      <c r="E9" s="30"/>
      <c r="F9" s="185">
        <f>D5*D9</f>
        <v>3.125E-2</v>
      </c>
      <c r="J9" s="34"/>
      <c r="L9" s="191"/>
      <c r="N9" s="75"/>
      <c r="P9" s="92"/>
      <c r="Q9" s="1">
        <v>4</v>
      </c>
      <c r="T9" s="1">
        <f t="shared" si="0"/>
        <v>2026</v>
      </c>
      <c r="U9" s="186">
        <v>0.3</v>
      </c>
      <c r="V9" s="2">
        <f>Q16*U9</f>
        <v>14495514.624</v>
      </c>
    </row>
    <row r="10" spans="2:22" x14ac:dyDescent="0.3">
      <c r="D10" s="30"/>
      <c r="E10" s="30"/>
      <c r="I10" s="1" t="s">
        <v>360</v>
      </c>
      <c r="J10" s="34"/>
      <c r="L10" s="191"/>
      <c r="M10" s="1" t="s">
        <v>336</v>
      </c>
      <c r="N10" s="75"/>
      <c r="P10" s="92"/>
      <c r="Q10" s="196">
        <f>Q7/Q9</f>
        <v>3.125E-2</v>
      </c>
      <c r="R10" s="1" t="s">
        <v>340</v>
      </c>
      <c r="T10" s="1">
        <f t="shared" si="0"/>
        <v>2027</v>
      </c>
      <c r="U10" s="186">
        <v>0.4</v>
      </c>
      <c r="V10" s="2">
        <f>Q16*U10</f>
        <v>19327352.831999999</v>
      </c>
    </row>
    <row r="11" spans="2:22" x14ac:dyDescent="0.3">
      <c r="C11" s="1" t="s">
        <v>315</v>
      </c>
      <c r="D11" s="30">
        <v>0.25</v>
      </c>
      <c r="E11" s="30"/>
      <c r="I11" s="1">
        <v>3</v>
      </c>
      <c r="J11" s="34"/>
      <c r="L11" s="191"/>
      <c r="M11" s="79">
        <f>M4-M8</f>
        <v>12369505812.48</v>
      </c>
      <c r="N11" s="79"/>
      <c r="P11" s="92"/>
      <c r="Q11" s="1" t="s">
        <v>332</v>
      </c>
      <c r="T11" s="1">
        <f t="shared" si="0"/>
        <v>2028</v>
      </c>
      <c r="U11" s="186">
        <v>0.5</v>
      </c>
      <c r="V11" s="2">
        <f>Q16*U11</f>
        <v>24159191.039999999</v>
      </c>
    </row>
    <row r="12" spans="2:22" x14ac:dyDescent="0.3">
      <c r="D12" s="30" t="s">
        <v>316</v>
      </c>
      <c r="E12" s="30"/>
      <c r="F12" s="1" t="s">
        <v>317</v>
      </c>
      <c r="I12" s="35">
        <f>I8*I11</f>
        <v>257698037.75999999</v>
      </c>
      <c r="J12" s="35"/>
      <c r="K12" s="34" t="s">
        <v>352</v>
      </c>
      <c r="L12" s="191"/>
      <c r="M12" s="1" t="s">
        <v>357</v>
      </c>
      <c r="N12" s="75"/>
      <c r="P12" s="92"/>
      <c r="Q12" s="18">
        <v>0.5</v>
      </c>
      <c r="T12" s="1">
        <f t="shared" si="0"/>
        <v>2029</v>
      </c>
      <c r="U12" s="186">
        <v>0.6</v>
      </c>
      <c r="V12" s="2">
        <f>Q16*U12</f>
        <v>28991029.248</v>
      </c>
    </row>
    <row r="13" spans="2:22" x14ac:dyDescent="0.3">
      <c r="C13" s="1" t="s">
        <v>313</v>
      </c>
      <c r="D13" s="30">
        <v>6.25E-2</v>
      </c>
      <c r="E13" s="30"/>
      <c r="F13" s="185">
        <f>D11*D13</f>
        <v>1.5625E-2</v>
      </c>
      <c r="J13" s="34"/>
      <c r="L13" s="191"/>
      <c r="N13" s="75"/>
      <c r="P13" s="92"/>
      <c r="Q13" s="197">
        <f>Q10*Q12</f>
        <v>1.5625E-2</v>
      </c>
      <c r="R13" s="1" t="s">
        <v>340</v>
      </c>
      <c r="T13" s="106">
        <f t="shared" si="0"/>
        <v>2030</v>
      </c>
      <c r="U13" s="186">
        <v>0.7</v>
      </c>
      <c r="V13" s="2">
        <f>Q16*U13</f>
        <v>33822867.456</v>
      </c>
    </row>
    <row r="14" spans="2:22" x14ac:dyDescent="0.3">
      <c r="C14" s="1" t="s">
        <v>313</v>
      </c>
      <c r="D14" s="30">
        <v>0.125</v>
      </c>
      <c r="E14" s="30"/>
      <c r="F14" s="185">
        <f>D11*D14</f>
        <v>3.125E-2</v>
      </c>
      <c r="I14" s="1" t="s">
        <v>361</v>
      </c>
      <c r="J14" s="34"/>
      <c r="L14" s="191"/>
      <c r="M14" s="1" t="s">
        <v>333</v>
      </c>
      <c r="N14" s="75"/>
      <c r="P14" s="92"/>
      <c r="T14" s="1">
        <f t="shared" si="0"/>
        <v>2031</v>
      </c>
      <c r="U14" s="186">
        <v>0.8</v>
      </c>
      <c r="V14" s="2">
        <f>Q16*U14</f>
        <v>38654705.663999997</v>
      </c>
    </row>
    <row r="15" spans="2:22" x14ac:dyDescent="0.3">
      <c r="C15" s="1" t="s">
        <v>313</v>
      </c>
      <c r="D15" s="30">
        <v>0.25</v>
      </c>
      <c r="E15" s="30"/>
      <c r="F15" s="185">
        <f>D11*D15</f>
        <v>6.25E-2</v>
      </c>
      <c r="I15" s="1">
        <v>32</v>
      </c>
      <c r="J15" s="34"/>
      <c r="L15" s="191"/>
      <c r="M15" s="18">
        <v>0.5</v>
      </c>
      <c r="N15" s="194"/>
      <c r="P15" s="92"/>
      <c r="Q15" s="1" t="s">
        <v>348</v>
      </c>
      <c r="T15" s="1">
        <f t="shared" si="0"/>
        <v>2032</v>
      </c>
      <c r="U15" s="186">
        <v>0.9</v>
      </c>
      <c r="V15" s="2">
        <f>Q16*U15</f>
        <v>43486543.872000001</v>
      </c>
    </row>
    <row r="16" spans="2:22" x14ac:dyDescent="0.3">
      <c r="I16" s="35">
        <f>I12*I15</f>
        <v>8246337208.3199997</v>
      </c>
      <c r="J16" s="35"/>
      <c r="K16" s="34" t="s">
        <v>353</v>
      </c>
      <c r="L16" s="191"/>
      <c r="M16" s="79">
        <f>M11*M15</f>
        <v>6184752906.2399998</v>
      </c>
      <c r="N16" s="79"/>
      <c r="P16" s="92"/>
      <c r="Q16" s="83">
        <f>M26*Q13</f>
        <v>48318382.079999998</v>
      </c>
      <c r="R16" s="74" t="s">
        <v>349</v>
      </c>
      <c r="S16" s="74"/>
      <c r="T16" s="74">
        <f t="shared" si="0"/>
        <v>2033</v>
      </c>
      <c r="U16" s="186">
        <v>1</v>
      </c>
      <c r="V16" s="2">
        <f>Q16*U16</f>
        <v>48318382.079999998</v>
      </c>
    </row>
    <row r="17" spans="1:25" ht="16.2" thickBot="1" x14ac:dyDescent="0.35">
      <c r="A17" s="1" t="s">
        <v>318</v>
      </c>
      <c r="C17" s="1" t="s">
        <v>319</v>
      </c>
      <c r="I17" s="1" t="s">
        <v>329</v>
      </c>
      <c r="J17" s="34"/>
      <c r="L17" s="191"/>
      <c r="N17" s="75"/>
      <c r="P17" s="92"/>
      <c r="Q17" s="1" t="s">
        <v>343</v>
      </c>
      <c r="R17" s="74"/>
      <c r="U17" s="74"/>
      <c r="V17" s="205">
        <f>SUM(V4:V16)</f>
        <v>267200652.90240002</v>
      </c>
      <c r="W17" s="74" t="s">
        <v>345</v>
      </c>
    </row>
    <row r="18" spans="1:25" ht="16.2" thickTop="1" x14ac:dyDescent="0.3">
      <c r="C18" s="1" t="s">
        <v>393</v>
      </c>
      <c r="I18" s="70">
        <f>I16</f>
        <v>8246337208.3199997</v>
      </c>
      <c r="J18" s="35"/>
      <c r="K18" s="34" t="s">
        <v>355</v>
      </c>
      <c r="L18" s="191"/>
      <c r="M18" s="1" t="s">
        <v>334</v>
      </c>
      <c r="N18" s="75"/>
      <c r="P18" s="187"/>
      <c r="Q18" s="202">
        <f>Q16</f>
        <v>48318382.079999998</v>
      </c>
      <c r="R18" s="74"/>
      <c r="V18" s="1" t="s">
        <v>205</v>
      </c>
    </row>
    <row r="19" spans="1:25" x14ac:dyDescent="0.3">
      <c r="C19" s="1" t="s">
        <v>486</v>
      </c>
      <c r="I19" s="12" t="s">
        <v>330</v>
      </c>
      <c r="J19" s="190"/>
      <c r="L19" s="191"/>
      <c r="M19" s="79">
        <f>M11*M15</f>
        <v>6184752906.2399998</v>
      </c>
      <c r="N19" s="79"/>
      <c r="P19" s="187"/>
      <c r="Q19" s="1" t="s">
        <v>344</v>
      </c>
      <c r="R19" s="74"/>
      <c r="V19" s="202">
        <f>V17</f>
        <v>267200652.90240002</v>
      </c>
      <c r="W19" s="187" t="s">
        <v>344</v>
      </c>
    </row>
    <row r="20" spans="1:25" x14ac:dyDescent="0.3">
      <c r="I20" s="192">
        <f>I16+I18</f>
        <v>16492674416.639999</v>
      </c>
      <c r="J20" s="192"/>
      <c r="K20" s="193" t="s">
        <v>356</v>
      </c>
      <c r="L20" s="191"/>
      <c r="N20" s="75"/>
      <c r="P20" s="187"/>
      <c r="R20" s="74"/>
      <c r="V20" s="88" t="s">
        <v>351</v>
      </c>
      <c r="Y20" s="226" t="s">
        <v>595</v>
      </c>
    </row>
    <row r="21" spans="1:25" ht="16.2" thickBot="1" x14ac:dyDescent="0.35">
      <c r="A21" s="1" t="s">
        <v>321</v>
      </c>
      <c r="C21" s="1" t="s">
        <v>322</v>
      </c>
      <c r="M21" s="1" t="s">
        <v>335</v>
      </c>
      <c r="N21" s="75"/>
      <c r="P21" s="187"/>
      <c r="Q21" s="86" t="s">
        <v>363</v>
      </c>
      <c r="R21" s="74"/>
      <c r="V21" s="78">
        <f>V17+V19</f>
        <v>534401305.80480003</v>
      </c>
      <c r="W21" s="223" t="s">
        <v>349</v>
      </c>
      <c r="X21" s="224">
        <v>0.25</v>
      </c>
      <c r="Y21" s="225">
        <f>V21*X21</f>
        <v>133600326.45120001</v>
      </c>
    </row>
    <row r="22" spans="1:25" ht="16.2" thickTop="1" x14ac:dyDescent="0.3">
      <c r="C22" s="1" t="s">
        <v>323</v>
      </c>
      <c r="M22" s="18">
        <v>0.5</v>
      </c>
      <c r="N22" s="194"/>
      <c r="P22" s="187"/>
      <c r="Q22" s="2">
        <f>Q16+Q18</f>
        <v>96636764.159999996</v>
      </c>
      <c r="R22" s="74"/>
      <c r="W22" s="1" t="s">
        <v>364</v>
      </c>
    </row>
    <row r="23" spans="1:25" x14ac:dyDescent="0.3">
      <c r="C23" s="1" t="s">
        <v>324</v>
      </c>
      <c r="M23" s="198">
        <f>M19*M22</f>
        <v>3092376453.1199999</v>
      </c>
      <c r="N23" s="198"/>
      <c r="O23" s="199"/>
      <c r="P23" s="199"/>
      <c r="Q23" s="199"/>
      <c r="R23" s="74"/>
      <c r="V23" s="206" t="s">
        <v>342</v>
      </c>
    </row>
    <row r="24" spans="1:25" x14ac:dyDescent="0.3">
      <c r="C24" s="1" t="s">
        <v>325</v>
      </c>
      <c r="N24" s="75"/>
      <c r="P24" s="187"/>
      <c r="R24" s="88"/>
      <c r="V24" s="207">
        <f>'POP Dimensions'!C15</f>
        <v>10737418.24</v>
      </c>
      <c r="W24" s="1" t="s">
        <v>362</v>
      </c>
    </row>
    <row r="25" spans="1:25" x14ac:dyDescent="0.3">
      <c r="C25" s="1" t="s">
        <v>326</v>
      </c>
      <c r="M25" s="1" t="s">
        <v>336</v>
      </c>
      <c r="N25" s="75"/>
      <c r="P25" s="187"/>
      <c r="R25" s="88"/>
    </row>
    <row r="26" spans="1:25" x14ac:dyDescent="0.3">
      <c r="C26" s="1" t="s">
        <v>350</v>
      </c>
      <c r="M26" s="200">
        <f>M23</f>
        <v>3092376453.1199999</v>
      </c>
      <c r="N26" s="200"/>
      <c r="O26" s="201"/>
      <c r="P26" s="187"/>
      <c r="R26" s="88"/>
      <c r="V26" s="208">
        <f>V21/V24</f>
        <v>49.77</v>
      </c>
      <c r="W26" s="88" t="s">
        <v>739</v>
      </c>
    </row>
    <row r="27" spans="1:25" x14ac:dyDescent="0.3">
      <c r="M27" s="1" t="s">
        <v>337</v>
      </c>
      <c r="N27" s="75"/>
      <c r="V27" s="1" t="s">
        <v>349</v>
      </c>
    </row>
    <row r="28" spans="1:25" x14ac:dyDescent="0.3">
      <c r="M28" s="79">
        <f>M26</f>
        <v>3092376453.1199999</v>
      </c>
      <c r="N28" s="79"/>
      <c r="O28" s="88"/>
      <c r="P28" s="88"/>
    </row>
    <row r="29" spans="1:25" x14ac:dyDescent="0.3">
      <c r="M29" s="1" t="s">
        <v>338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D619-8B83-4F98-A251-F54A7FEC1EDC}">
  <dimension ref="B1:K20"/>
  <sheetViews>
    <sheetView showGridLines="0" showRowColHeaders="0" workbookViewId="0">
      <selection activeCell="H8" sqref="H8"/>
    </sheetView>
  </sheetViews>
  <sheetFormatPr defaultColWidth="8.88671875" defaultRowHeight="15.6" x14ac:dyDescent="0.3"/>
  <cols>
    <col min="1" max="2" width="8.88671875" style="1"/>
    <col min="3" max="3" width="33.109375" style="1" bestFit="1" customWidth="1"/>
    <col min="4" max="4" width="26.109375" style="1" customWidth="1"/>
    <col min="5" max="5" width="12.109375" style="1" bestFit="1" customWidth="1"/>
    <col min="6" max="6" width="22.6640625" style="1" bestFit="1" customWidth="1"/>
    <col min="7" max="7" width="8.109375" style="1" customWidth="1"/>
    <col min="8" max="8" width="24.33203125" style="1" customWidth="1"/>
    <col min="9" max="9" width="7.5546875" style="1" customWidth="1"/>
    <col min="10" max="10" width="33" style="1" bestFit="1" customWidth="1"/>
    <col min="11" max="11" width="13.33203125" style="1" bestFit="1" customWidth="1"/>
    <col min="12" max="16384" width="8.88671875" style="1"/>
  </cols>
  <sheetData>
    <row r="1" spans="2:11" s="76" customFormat="1" ht="21" customHeight="1" x14ac:dyDescent="0.35">
      <c r="B1" s="425" t="s">
        <v>973</v>
      </c>
    </row>
    <row r="2" spans="2:11" s="76" customFormat="1" x14ac:dyDescent="0.3">
      <c r="E2" s="76" t="s">
        <v>759</v>
      </c>
      <c r="H2" s="76" t="s">
        <v>959</v>
      </c>
      <c r="J2" s="76" t="s">
        <v>960</v>
      </c>
    </row>
    <row r="3" spans="2:11" s="252" customFormat="1" x14ac:dyDescent="0.3"/>
    <row r="4" spans="2:11" s="322" customFormat="1" ht="18" x14ac:dyDescent="0.35">
      <c r="C4" s="649" t="s">
        <v>1000</v>
      </c>
      <c r="D4" s="650">
        <f>'2018 to 2027'!E23+'2018 to 2027'!E24</f>
        <v>2500000000</v>
      </c>
      <c r="E4" s="651">
        <v>0.75</v>
      </c>
      <c r="F4" s="652">
        <f>D4*E4</f>
        <v>1875000000</v>
      </c>
      <c r="G4" s="651">
        <v>0.75</v>
      </c>
      <c r="H4" s="650">
        <f>F4*G4</f>
        <v>1406250000</v>
      </c>
      <c r="I4" s="653">
        <v>0.25</v>
      </c>
      <c r="J4" s="650">
        <f>F4*I4</f>
        <v>468750000</v>
      </c>
      <c r="K4" s="653">
        <f>G4+I4</f>
        <v>1</v>
      </c>
    </row>
    <row r="5" spans="2:11" s="322" customFormat="1" ht="24.6" customHeight="1" x14ac:dyDescent="0.35">
      <c r="C5" s="679" t="s">
        <v>1002</v>
      </c>
      <c r="D5" s="654"/>
      <c r="E5" s="655"/>
      <c r="F5" s="656"/>
      <c r="G5" s="655"/>
      <c r="H5" s="654"/>
      <c r="I5" s="657"/>
      <c r="J5" s="654"/>
      <c r="K5" s="657"/>
    </row>
    <row r="6" spans="2:11" s="322" customFormat="1" ht="22.8" customHeight="1" x14ac:dyDescent="0.35">
      <c r="C6" s="658" t="s">
        <v>755</v>
      </c>
      <c r="D6" s="659">
        <v>250000000</v>
      </c>
      <c r="E6" s="660">
        <v>0.5</v>
      </c>
      <c r="F6" s="661">
        <f t="shared" ref="F6:F11" si="0">D6*E6</f>
        <v>125000000</v>
      </c>
      <c r="G6" s="660">
        <v>1</v>
      </c>
      <c r="H6" s="659">
        <f t="shared" ref="H6:H15" si="1">F6*G6</f>
        <v>125000000</v>
      </c>
      <c r="I6" s="662">
        <v>0</v>
      </c>
      <c r="J6" s="659">
        <f t="shared" ref="J6:J15" si="2">F6*I6</f>
        <v>0</v>
      </c>
      <c r="K6" s="662">
        <f t="shared" ref="K6:K15" si="3">G6+I6</f>
        <v>1</v>
      </c>
    </row>
    <row r="7" spans="2:11" s="322" customFormat="1" ht="18" x14ac:dyDescent="0.35">
      <c r="C7" s="658" t="s">
        <v>756</v>
      </c>
      <c r="D7" s="659">
        <v>500000000</v>
      </c>
      <c r="E7" s="660">
        <v>0.75</v>
      </c>
      <c r="F7" s="661">
        <f t="shared" si="0"/>
        <v>375000000</v>
      </c>
      <c r="G7" s="660">
        <v>1</v>
      </c>
      <c r="H7" s="659">
        <f t="shared" si="1"/>
        <v>375000000</v>
      </c>
      <c r="I7" s="662">
        <v>0.25</v>
      </c>
      <c r="J7" s="659">
        <f t="shared" si="2"/>
        <v>93750000</v>
      </c>
      <c r="K7" s="662">
        <f t="shared" si="3"/>
        <v>1.25</v>
      </c>
    </row>
    <row r="8" spans="2:11" s="322" customFormat="1" ht="24.6" customHeight="1" x14ac:dyDescent="0.35">
      <c r="C8" s="663" t="s">
        <v>757</v>
      </c>
      <c r="D8" s="664">
        <v>250000000</v>
      </c>
      <c r="E8" s="665">
        <v>0.5</v>
      </c>
      <c r="F8" s="666">
        <f t="shared" si="0"/>
        <v>125000000</v>
      </c>
      <c r="G8" s="665">
        <v>0.5</v>
      </c>
      <c r="H8" s="664">
        <f t="shared" si="1"/>
        <v>62500000</v>
      </c>
      <c r="I8" s="667">
        <v>0.5</v>
      </c>
      <c r="J8" s="664">
        <f t="shared" si="2"/>
        <v>62500000</v>
      </c>
      <c r="K8" s="667">
        <f t="shared" si="3"/>
        <v>1</v>
      </c>
    </row>
    <row r="9" spans="2:11" s="322" customFormat="1" ht="18" x14ac:dyDescent="0.35">
      <c r="C9" s="663" t="s">
        <v>758</v>
      </c>
      <c r="D9" s="664">
        <v>1000000000</v>
      </c>
      <c r="E9" s="665">
        <v>0.1</v>
      </c>
      <c r="F9" s="666">
        <f t="shared" si="0"/>
        <v>100000000</v>
      </c>
      <c r="G9" s="665">
        <v>1</v>
      </c>
      <c r="H9" s="664">
        <f t="shared" si="1"/>
        <v>100000000</v>
      </c>
      <c r="I9" s="667">
        <v>0</v>
      </c>
      <c r="J9" s="664">
        <f t="shared" si="2"/>
        <v>0</v>
      </c>
      <c r="K9" s="667">
        <f t="shared" si="3"/>
        <v>1</v>
      </c>
    </row>
    <row r="10" spans="2:11" s="322" customFormat="1" ht="25.2" customHeight="1" x14ac:dyDescent="0.35">
      <c r="C10" s="668" t="s">
        <v>811</v>
      </c>
      <c r="D10" s="650">
        <v>250000000</v>
      </c>
      <c r="E10" s="651">
        <v>0.75</v>
      </c>
      <c r="F10" s="652">
        <f t="shared" si="0"/>
        <v>187500000</v>
      </c>
      <c r="G10" s="651">
        <v>0.5</v>
      </c>
      <c r="H10" s="650">
        <f t="shared" si="1"/>
        <v>93750000</v>
      </c>
      <c r="I10" s="653">
        <v>0.5</v>
      </c>
      <c r="J10" s="650">
        <f t="shared" si="2"/>
        <v>93750000</v>
      </c>
      <c r="K10" s="653">
        <f t="shared" si="3"/>
        <v>1</v>
      </c>
    </row>
    <row r="11" spans="2:11" s="322" customFormat="1" ht="18" x14ac:dyDescent="0.35">
      <c r="C11" s="668" t="s">
        <v>760</v>
      </c>
      <c r="D11" s="650">
        <v>50000000</v>
      </c>
      <c r="E11" s="651">
        <v>0.75</v>
      </c>
      <c r="F11" s="652">
        <f t="shared" si="0"/>
        <v>37500000</v>
      </c>
      <c r="G11" s="651">
        <v>0.75</v>
      </c>
      <c r="H11" s="650">
        <f t="shared" si="1"/>
        <v>28125000</v>
      </c>
      <c r="I11" s="653">
        <v>0.25</v>
      </c>
      <c r="J11" s="650">
        <f t="shared" si="2"/>
        <v>9375000</v>
      </c>
      <c r="K11" s="653">
        <f t="shared" si="3"/>
        <v>1</v>
      </c>
    </row>
    <row r="12" spans="2:11" s="322" customFormat="1" ht="18" x14ac:dyDescent="0.35">
      <c r="C12" s="668" t="s">
        <v>274</v>
      </c>
      <c r="D12" s="650">
        <v>500000000</v>
      </c>
      <c r="E12" s="651">
        <v>0.75</v>
      </c>
      <c r="F12" s="652">
        <f t="shared" ref="F12" si="4">D12*E12</f>
        <v>375000000</v>
      </c>
      <c r="G12" s="651">
        <v>0.25</v>
      </c>
      <c r="H12" s="650">
        <f t="shared" si="1"/>
        <v>93750000</v>
      </c>
      <c r="I12" s="653">
        <v>0.75</v>
      </c>
      <c r="J12" s="650">
        <f t="shared" si="2"/>
        <v>281250000</v>
      </c>
      <c r="K12" s="653">
        <f t="shared" si="3"/>
        <v>1</v>
      </c>
    </row>
    <row r="13" spans="2:11" s="322" customFormat="1" ht="18" x14ac:dyDescent="0.35">
      <c r="C13" s="649" t="s">
        <v>761</v>
      </c>
      <c r="D13" s="650">
        <v>100000000</v>
      </c>
      <c r="E13" s="651">
        <v>0.75</v>
      </c>
      <c r="F13" s="652">
        <f t="shared" ref="F13" si="5">D13*E13</f>
        <v>75000000</v>
      </c>
      <c r="G13" s="651">
        <v>0.5</v>
      </c>
      <c r="H13" s="650">
        <f t="shared" si="1"/>
        <v>37500000</v>
      </c>
      <c r="I13" s="653">
        <v>0.5</v>
      </c>
      <c r="J13" s="650">
        <f t="shared" si="2"/>
        <v>37500000</v>
      </c>
      <c r="K13" s="653">
        <f t="shared" si="3"/>
        <v>1</v>
      </c>
    </row>
    <row r="14" spans="2:11" s="322" customFormat="1" ht="27" customHeight="1" x14ac:dyDescent="0.35">
      <c r="C14" s="669" t="s">
        <v>762</v>
      </c>
      <c r="D14" s="670">
        <v>1000000000</v>
      </c>
      <c r="E14" s="671">
        <v>0.5</v>
      </c>
      <c r="F14" s="672">
        <f t="shared" ref="F14" si="6">D14*E14</f>
        <v>500000000</v>
      </c>
      <c r="G14" s="671">
        <v>1</v>
      </c>
      <c r="H14" s="670">
        <f t="shared" si="1"/>
        <v>500000000</v>
      </c>
      <c r="I14" s="673">
        <v>0</v>
      </c>
      <c r="J14" s="670">
        <f t="shared" si="2"/>
        <v>0</v>
      </c>
      <c r="K14" s="673">
        <f t="shared" si="3"/>
        <v>1</v>
      </c>
    </row>
    <row r="15" spans="2:11" s="322" customFormat="1" ht="25.8" customHeight="1" x14ac:dyDescent="0.35">
      <c r="C15" s="674" t="s">
        <v>1001</v>
      </c>
      <c r="D15" s="675">
        <v>1000000000</v>
      </c>
      <c r="E15" s="676">
        <v>0.5</v>
      </c>
      <c r="F15" s="677">
        <f t="shared" ref="F15" si="7">D15*E15</f>
        <v>500000000</v>
      </c>
      <c r="G15" s="676">
        <v>0.75</v>
      </c>
      <c r="H15" s="675">
        <f t="shared" si="1"/>
        <v>375000000</v>
      </c>
      <c r="I15" s="678">
        <v>0.25</v>
      </c>
      <c r="J15" s="675">
        <f t="shared" si="2"/>
        <v>125000000</v>
      </c>
      <c r="K15" s="678">
        <f t="shared" si="3"/>
        <v>1</v>
      </c>
    </row>
    <row r="16" spans="2:11" s="322" customFormat="1" ht="18.600000000000001" thickBot="1" x14ac:dyDescent="0.4">
      <c r="D16" s="654"/>
      <c r="E16" s="655"/>
      <c r="F16" s="656"/>
      <c r="G16" s="656"/>
      <c r="H16" s="556">
        <f>SUM(H4:H15)</f>
        <v>3196875000</v>
      </c>
      <c r="J16" s="556">
        <f>SUM(J4:J15)</f>
        <v>1171875000</v>
      </c>
    </row>
    <row r="17" spans="5:7" ht="16.2" thickTop="1" x14ac:dyDescent="0.3">
      <c r="E17" s="32"/>
      <c r="F17" s="33"/>
      <c r="G17" s="33"/>
    </row>
    <row r="18" spans="5:7" x14ac:dyDescent="0.3">
      <c r="E18" s="32"/>
      <c r="F18" s="33"/>
      <c r="G18" s="33"/>
    </row>
    <row r="19" spans="5:7" x14ac:dyDescent="0.3">
      <c r="E19" s="32"/>
      <c r="F19" s="32"/>
      <c r="G19" s="32"/>
    </row>
    <row r="20" spans="5:7" x14ac:dyDescent="0.3">
      <c r="F20" s="2"/>
      <c r="G20" s="2"/>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3180B-0BC9-488E-9CA1-24828CE76284}">
  <dimension ref="C2:R43"/>
  <sheetViews>
    <sheetView showGridLines="0" showRowColHeaders="0" topLeftCell="A13" workbookViewId="0">
      <selection activeCell="O25" sqref="O25"/>
    </sheetView>
  </sheetViews>
  <sheetFormatPr defaultColWidth="8.88671875" defaultRowHeight="15.6" x14ac:dyDescent="0.3"/>
  <cols>
    <col min="1" max="3" width="8.88671875" style="1"/>
    <col min="4" max="4" width="14.109375" style="1" bestFit="1" customWidth="1"/>
    <col min="5" max="14" width="8.88671875" style="1"/>
    <col min="15" max="15" width="16.6640625" style="1" bestFit="1" customWidth="1"/>
    <col min="16" max="16" width="68.33203125" style="1" bestFit="1" customWidth="1"/>
    <col min="17" max="17" width="8.88671875" style="1"/>
    <col min="18" max="18" width="14.109375" style="1" bestFit="1" customWidth="1"/>
    <col min="19" max="16384" width="8.88671875" style="1"/>
  </cols>
  <sheetData>
    <row r="2" spans="3:5" ht="21" x14ac:dyDescent="0.4">
      <c r="C2" s="31" t="s">
        <v>903</v>
      </c>
    </row>
    <row r="3" spans="3:5" ht="21" x14ac:dyDescent="0.4">
      <c r="C3" s="427" t="s">
        <v>909</v>
      </c>
    </row>
    <row r="5" spans="3:5" x14ac:dyDescent="0.3">
      <c r="D5" s="1" t="s">
        <v>904</v>
      </c>
    </row>
    <row r="7" spans="3:5" x14ac:dyDescent="0.3">
      <c r="C7" s="1">
        <v>1</v>
      </c>
      <c r="D7" s="250">
        <f>'2024 - ŔÉŚ 1 SPIN-8 Tax 95% '!AO53</f>
        <v>256</v>
      </c>
      <c r="E7" s="1" t="s">
        <v>847</v>
      </c>
    </row>
    <row r="8" spans="3:5" x14ac:dyDescent="0.3">
      <c r="C8" s="1">
        <v>2</v>
      </c>
      <c r="D8" s="250">
        <f>'UCS™ TWF Ťenders'!L110</f>
        <v>74</v>
      </c>
      <c r="E8" s="1" t="s">
        <v>858</v>
      </c>
    </row>
    <row r="9" spans="3:5" x14ac:dyDescent="0.3">
      <c r="C9" s="1">
        <v>3</v>
      </c>
      <c r="D9" s="250">
        <v>4</v>
      </c>
      <c r="E9" s="1" t="s">
        <v>859</v>
      </c>
    </row>
    <row r="10" spans="3:5" x14ac:dyDescent="0.3">
      <c r="C10" s="1">
        <v>4</v>
      </c>
      <c r="D10" s="250">
        <f>D8/D9</f>
        <v>18.5</v>
      </c>
      <c r="E10" s="1" t="s">
        <v>848</v>
      </c>
    </row>
    <row r="11" spans="3:5" x14ac:dyDescent="0.3">
      <c r="C11" s="1">
        <v>5</v>
      </c>
      <c r="D11" s="250">
        <f>D7</f>
        <v>256</v>
      </c>
      <c r="E11" s="1" t="s">
        <v>905</v>
      </c>
    </row>
    <row r="12" spans="3:5" s="322" customFormat="1" ht="18.600000000000001" thickBot="1" x14ac:dyDescent="0.4">
      <c r="C12" s="322">
        <v>6</v>
      </c>
      <c r="D12" s="542">
        <f>D10*D11</f>
        <v>4736</v>
      </c>
      <c r="E12" s="322" t="s">
        <v>849</v>
      </c>
    </row>
    <row r="13" spans="3:5" ht="16.2" thickTop="1" x14ac:dyDescent="0.3">
      <c r="D13" s="298">
        <v>2</v>
      </c>
    </row>
    <row r="14" spans="3:5" ht="16.2" thickBot="1" x14ac:dyDescent="0.35">
      <c r="C14" s="1">
        <v>7</v>
      </c>
      <c r="D14" s="540">
        <f>D12*D13</f>
        <v>9472</v>
      </c>
      <c r="E14" s="1" t="s">
        <v>956</v>
      </c>
    </row>
    <row r="15" spans="3:5" x14ac:dyDescent="0.3">
      <c r="D15" s="250"/>
    </row>
    <row r="16" spans="3:5" ht="16.2" thickBot="1" x14ac:dyDescent="0.35">
      <c r="C16" s="1">
        <v>8</v>
      </c>
      <c r="D16" s="540">
        <f>D12+D14</f>
        <v>14208</v>
      </c>
      <c r="E16" s="1" t="s">
        <v>906</v>
      </c>
    </row>
    <row r="17" spans="4:18" x14ac:dyDescent="0.3">
      <c r="D17" s="298">
        <v>2</v>
      </c>
      <c r="E17" s="1" t="s">
        <v>850</v>
      </c>
    </row>
    <row r="18" spans="4:18" ht="16.2" thickBot="1" x14ac:dyDescent="0.35">
      <c r="D18" s="540">
        <f>D16*D17</f>
        <v>28416</v>
      </c>
      <c r="E18" s="575">
        <v>2028</v>
      </c>
    </row>
    <row r="19" spans="4:18" x14ac:dyDescent="0.3">
      <c r="D19" s="298">
        <v>2</v>
      </c>
      <c r="E19" s="1" t="s">
        <v>851</v>
      </c>
    </row>
    <row r="20" spans="4:18" ht="16.2" thickBot="1" x14ac:dyDescent="0.35">
      <c r="D20" s="540">
        <f>D18*D19</f>
        <v>56832</v>
      </c>
    </row>
    <row r="21" spans="4:18" x14ac:dyDescent="0.3">
      <c r="D21" s="298">
        <v>0.2</v>
      </c>
      <c r="E21" s="1" t="s">
        <v>907</v>
      </c>
    </row>
    <row r="22" spans="4:18" x14ac:dyDescent="0.3">
      <c r="D22" s="543">
        <f>D20*D21</f>
        <v>11366.400000000001</v>
      </c>
    </row>
    <row r="23" spans="4:18" ht="16.2" thickBot="1" x14ac:dyDescent="0.35">
      <c r="D23" s="550">
        <f>D20+D22</f>
        <v>68198.399999999994</v>
      </c>
      <c r="E23" s="546" t="s">
        <v>908</v>
      </c>
      <c r="F23" s="546"/>
      <c r="G23" s="546"/>
      <c r="H23" s="546"/>
      <c r="I23" s="546"/>
      <c r="J23" s="546"/>
      <c r="K23" s="546"/>
      <c r="L23" s="546"/>
      <c r="M23" s="546"/>
      <c r="N23" s="546"/>
      <c r="O23" s="551">
        <f>D23</f>
        <v>68198.399999999994</v>
      </c>
      <c r="P23" s="1" t="s">
        <v>910</v>
      </c>
    </row>
    <row r="24" spans="4:18" ht="16.2" thickTop="1" x14ac:dyDescent="0.3">
      <c r="D24" s="76">
        <v>4</v>
      </c>
      <c r="N24" s="38" t="s">
        <v>854</v>
      </c>
      <c r="O24" s="250">
        <v>31</v>
      </c>
      <c r="P24" s="1" t="s">
        <v>855</v>
      </c>
    </row>
    <row r="25" spans="4:18" ht="16.2" thickBot="1" x14ac:dyDescent="0.35">
      <c r="D25" s="351">
        <f>D23*D24</f>
        <v>272793.59999999998</v>
      </c>
      <c r="E25" s="76" t="s">
        <v>291</v>
      </c>
      <c r="F25" s="76"/>
      <c r="G25" s="76"/>
      <c r="H25" s="76"/>
      <c r="O25" s="544">
        <f>O23*O24</f>
        <v>2114150.3999999999</v>
      </c>
    </row>
    <row r="26" spans="4:18" x14ac:dyDescent="0.3">
      <c r="D26" s="76">
        <v>4</v>
      </c>
      <c r="O26" s="298">
        <v>0.5</v>
      </c>
      <c r="P26" s="1" t="s">
        <v>860</v>
      </c>
    </row>
    <row r="27" spans="4:18" ht="16.2" thickBot="1" x14ac:dyDescent="0.35">
      <c r="D27" s="351">
        <f>D25*D26</f>
        <v>1091174.3999999999</v>
      </c>
      <c r="E27" s="76" t="s">
        <v>852</v>
      </c>
      <c r="F27" s="76"/>
      <c r="G27" s="76"/>
      <c r="H27" s="76"/>
      <c r="N27" s="38" t="s">
        <v>915</v>
      </c>
      <c r="O27" s="544">
        <f>O25*O26</f>
        <v>1057075.2</v>
      </c>
      <c r="Q27" s="1">
        <v>3</v>
      </c>
      <c r="R27" s="29">
        <f>O27*Q27</f>
        <v>3171225.5999999996</v>
      </c>
    </row>
    <row r="28" spans="4:18" x14ac:dyDescent="0.3">
      <c r="D28" s="77" t="s">
        <v>853</v>
      </c>
      <c r="O28" s="298">
        <v>2</v>
      </c>
      <c r="P28" s="1" t="s">
        <v>862</v>
      </c>
    </row>
    <row r="29" spans="4:18" ht="16.2" thickBot="1" x14ac:dyDescent="0.35">
      <c r="D29" s="351">
        <f>D27</f>
        <v>1091174.3999999999</v>
      </c>
      <c r="E29" s="76" t="s">
        <v>856</v>
      </c>
      <c r="F29" s="76"/>
      <c r="G29" s="76"/>
      <c r="H29" s="76"/>
      <c r="I29" s="76"/>
      <c r="J29" s="76"/>
      <c r="K29" s="76"/>
      <c r="L29" s="76"/>
      <c r="O29" s="545">
        <f>O27*O28</f>
        <v>2114150.3999999999</v>
      </c>
    </row>
    <row r="30" spans="4:18" x14ac:dyDescent="0.3">
      <c r="D30" s="76"/>
      <c r="O30" s="298">
        <v>2</v>
      </c>
      <c r="P30" s="1" t="s">
        <v>911</v>
      </c>
    </row>
    <row r="31" spans="4:18" ht="18.600000000000001" thickBot="1" x14ac:dyDescent="0.4">
      <c r="D31" s="351">
        <f>D25</f>
        <v>272793.59999999998</v>
      </c>
      <c r="E31" s="76" t="s">
        <v>857</v>
      </c>
      <c r="F31" s="76"/>
      <c r="G31" s="76"/>
      <c r="H31" s="76"/>
      <c r="L31" s="547"/>
      <c r="M31" s="547"/>
      <c r="N31" s="548" t="s">
        <v>861</v>
      </c>
      <c r="O31" s="549">
        <f>O29*O30</f>
        <v>4228300.7999999998</v>
      </c>
    </row>
    <row r="32" spans="4:18" ht="16.2" thickTop="1" x14ac:dyDescent="0.3">
      <c r="D32" s="541"/>
      <c r="L32" s="541"/>
    </row>
    <row r="33" spans="4:16" x14ac:dyDescent="0.3">
      <c r="D33" s="541"/>
      <c r="K33" s="38" t="s">
        <v>916</v>
      </c>
      <c r="L33" s="75">
        <f>O24*O30</f>
        <v>62</v>
      </c>
      <c r="O33" s="552">
        <f>D25*L33</f>
        <v>16913203.199999999</v>
      </c>
      <c r="P33" s="76" t="s">
        <v>291</v>
      </c>
    </row>
    <row r="34" spans="4:16" x14ac:dyDescent="0.3">
      <c r="D34" s="541"/>
      <c r="L34" s="541"/>
      <c r="O34" s="75"/>
    </row>
    <row r="35" spans="4:16" x14ac:dyDescent="0.3">
      <c r="D35" s="541"/>
      <c r="E35" s="541"/>
      <c r="F35" s="541"/>
      <c r="G35" s="541"/>
      <c r="H35" s="541"/>
      <c r="I35" s="541"/>
      <c r="J35" s="541"/>
      <c r="K35" s="541"/>
      <c r="L35" s="541"/>
      <c r="M35" s="541"/>
      <c r="N35" s="541"/>
      <c r="O35" s="552">
        <f>D27*L33</f>
        <v>67652812.799999997</v>
      </c>
      <c r="P35" s="76" t="s">
        <v>912</v>
      </c>
    </row>
    <row r="36" spans="4:16" x14ac:dyDescent="0.3">
      <c r="D36" s="553"/>
      <c r="O36" s="75"/>
    </row>
    <row r="37" spans="4:16" x14ac:dyDescent="0.3">
      <c r="D37" s="181" t="s">
        <v>863</v>
      </c>
      <c r="E37" s="181"/>
      <c r="F37" s="181"/>
      <c r="O37" s="552">
        <f>D29*L33</f>
        <v>67652812.799999997</v>
      </c>
      <c r="P37" s="76" t="s">
        <v>913</v>
      </c>
    </row>
    <row r="38" spans="4:16" x14ac:dyDescent="0.3">
      <c r="D38" s="181" t="s">
        <v>864</v>
      </c>
      <c r="E38" s="181"/>
      <c r="F38" s="181"/>
      <c r="O38" s="541"/>
    </row>
    <row r="39" spans="4:16" x14ac:dyDescent="0.3">
      <c r="D39" s="181" t="s">
        <v>865</v>
      </c>
      <c r="E39" s="181"/>
      <c r="F39" s="181"/>
      <c r="O39" s="552">
        <f>O33</f>
        <v>16913203.199999999</v>
      </c>
      <c r="P39" s="76" t="s">
        <v>876</v>
      </c>
    </row>
    <row r="40" spans="4:16" x14ac:dyDescent="0.3">
      <c r="D40" s="181" t="s">
        <v>866</v>
      </c>
      <c r="E40" s="181"/>
      <c r="F40" s="181"/>
      <c r="P40" s="76" t="s">
        <v>877</v>
      </c>
    </row>
    <row r="41" spans="4:16" x14ac:dyDescent="0.3">
      <c r="O41" s="552">
        <f>O39</f>
        <v>16913203.199999999</v>
      </c>
      <c r="P41" s="76" t="s">
        <v>914</v>
      </c>
    </row>
    <row r="42" spans="4:16" x14ac:dyDescent="0.3">
      <c r="O42" s="552">
        <f>O41*2</f>
        <v>33826406.399999999</v>
      </c>
      <c r="P42" s="76" t="s">
        <v>878</v>
      </c>
    </row>
    <row r="43" spans="4:16" x14ac:dyDescent="0.3">
      <c r="O43" s="552">
        <f>SUM(O41:O42)</f>
        <v>50739609.599999994</v>
      </c>
      <c r="P43" s="75" t="s">
        <v>879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686C2-DD2F-49F8-9B14-16543699AB47}">
  <dimension ref="A1:AS43"/>
  <sheetViews>
    <sheetView topLeftCell="V1" workbookViewId="0">
      <selection activeCell="AH18" sqref="AH18"/>
    </sheetView>
  </sheetViews>
  <sheetFormatPr defaultColWidth="8.88671875" defaultRowHeight="15.6" x14ac:dyDescent="0.3"/>
  <cols>
    <col min="1" max="1" width="11" style="1" hidden="1" customWidth="1"/>
    <col min="2" max="2" width="25.5546875" style="1" hidden="1" customWidth="1"/>
    <col min="3" max="5" width="0" style="1" hidden="1" customWidth="1"/>
    <col min="6" max="6" width="9.6640625" style="1" hidden="1" customWidth="1"/>
    <col min="7" max="7" width="8.88671875" style="1"/>
    <col min="8" max="8" width="32.44140625" style="1" bestFit="1" customWidth="1"/>
    <col min="9" max="9" width="9.6640625" style="1" bestFit="1" customWidth="1"/>
    <col min="10" max="10" width="3.88671875" style="1" customWidth="1"/>
    <col min="11" max="11" width="35.6640625" style="1" bestFit="1" customWidth="1"/>
    <col min="12" max="12" width="9.6640625" style="1" bestFit="1" customWidth="1"/>
    <col min="13" max="13" width="4.5546875" style="1" customWidth="1"/>
    <col min="14" max="14" width="30.88671875" style="1" bestFit="1" customWidth="1"/>
    <col min="15" max="15" width="9.6640625" style="1" bestFit="1" customWidth="1"/>
    <col min="16" max="16" width="4.33203125" style="1" customWidth="1"/>
    <col min="17" max="17" width="34.109375" style="1" bestFit="1" customWidth="1"/>
    <col min="18" max="18" width="9.6640625" style="1" bestFit="1" customWidth="1"/>
    <col min="19" max="19" width="8.88671875" style="1"/>
    <col min="20" max="20" width="41.5546875" style="1" bestFit="1" customWidth="1"/>
    <col min="21" max="21" width="8.6640625" style="1" bestFit="1" customWidth="1"/>
    <col min="22" max="22" width="14" style="1" bestFit="1" customWidth="1"/>
    <col min="23" max="23" width="21.109375" style="1" bestFit="1" customWidth="1"/>
    <col min="24" max="24" width="11.6640625" style="1" bestFit="1" customWidth="1"/>
    <col min="25" max="25" width="0" style="1" hidden="1" customWidth="1"/>
    <col min="26" max="26" width="8.88671875" style="1"/>
    <col min="27" max="27" width="37.33203125" style="1" customWidth="1"/>
    <col min="28" max="28" width="8.33203125" style="1" bestFit="1" customWidth="1"/>
    <col min="29" max="29" width="2.109375" style="1" bestFit="1" customWidth="1"/>
    <col min="30" max="30" width="22.88671875" style="1" bestFit="1" customWidth="1"/>
    <col min="31" max="31" width="6.44140625" style="1" bestFit="1" customWidth="1"/>
    <col min="32" max="32" width="2.109375" style="1" bestFit="1" customWidth="1"/>
    <col min="33" max="33" width="22.88671875" style="1" bestFit="1" customWidth="1"/>
    <col min="34" max="34" width="6.44140625" style="1" bestFit="1" customWidth="1"/>
    <col min="35" max="35" width="2.109375" style="1" bestFit="1" customWidth="1"/>
    <col min="36" max="36" width="22.88671875" style="1" bestFit="1" customWidth="1"/>
    <col min="37" max="37" width="10.44140625" style="1" bestFit="1" customWidth="1"/>
    <col min="38" max="38" width="10.44140625" style="1" customWidth="1"/>
    <col min="39" max="39" width="8.88671875" style="1"/>
    <col min="40" max="40" width="23.109375" style="1" bestFit="1" customWidth="1"/>
    <col min="41" max="41" width="14.6640625" style="1" customWidth="1"/>
    <col min="42" max="43" width="8.88671875" style="1"/>
    <col min="44" max="44" width="18.44140625" style="1" bestFit="1" customWidth="1"/>
    <col min="45" max="16384" width="8.88671875" style="1"/>
  </cols>
  <sheetData>
    <row r="1" spans="1:45" x14ac:dyDescent="0.3">
      <c r="H1" s="1" t="s">
        <v>508</v>
      </c>
    </row>
    <row r="2" spans="1:45" s="75" customFormat="1" x14ac:dyDescent="0.3">
      <c r="B2" s="75" t="s">
        <v>387</v>
      </c>
      <c r="G2" s="75">
        <v>1</v>
      </c>
      <c r="H2" s="75" t="s">
        <v>313</v>
      </c>
      <c r="J2" s="75">
        <v>2</v>
      </c>
      <c r="K2" s="75" t="s">
        <v>393</v>
      </c>
      <c r="M2" s="75">
        <v>3</v>
      </c>
      <c r="N2" s="75" t="s">
        <v>319</v>
      </c>
      <c r="P2" s="75">
        <v>4</v>
      </c>
      <c r="Q2" s="75" t="s">
        <v>395</v>
      </c>
      <c r="T2" s="76" t="s">
        <v>392</v>
      </c>
      <c r="U2" s="76"/>
      <c r="V2" s="76"/>
      <c r="W2" s="76" t="s">
        <v>461</v>
      </c>
      <c r="X2" s="77" t="s">
        <v>397</v>
      </c>
      <c r="Y2" s="75" t="s">
        <v>466</v>
      </c>
      <c r="Z2" s="75">
        <v>5</v>
      </c>
      <c r="AA2" s="75" t="s">
        <v>505</v>
      </c>
      <c r="AC2" s="75">
        <v>6</v>
      </c>
      <c r="AD2" s="75" t="s">
        <v>506</v>
      </c>
      <c r="AF2" s="75">
        <v>7</v>
      </c>
      <c r="AG2" s="75" t="s">
        <v>507</v>
      </c>
      <c r="AI2" s="75">
        <v>8</v>
      </c>
      <c r="AJ2" s="75" t="s">
        <v>509</v>
      </c>
      <c r="AN2" s="75" t="s">
        <v>518</v>
      </c>
    </row>
    <row r="3" spans="1:45" x14ac:dyDescent="0.3">
      <c r="Q3" s="1" t="s">
        <v>590</v>
      </c>
      <c r="X3" s="12" t="s">
        <v>498</v>
      </c>
    </row>
    <row r="4" spans="1:45" x14ac:dyDescent="0.3">
      <c r="A4" s="1">
        <v>1</v>
      </c>
      <c r="B4" s="211" t="s">
        <v>373</v>
      </c>
      <c r="D4" s="30">
        <v>5.2499999999999998E-2</v>
      </c>
      <c r="E4" s="81">
        <v>2.1250000000000002E-2</v>
      </c>
      <c r="F4" s="81">
        <f>SUM(D4:E4)</f>
        <v>7.3749999999999996E-2</v>
      </c>
      <c r="H4" s="1" t="s">
        <v>588</v>
      </c>
      <c r="I4" s="81">
        <v>6.25E-2</v>
      </c>
      <c r="K4" s="1" t="s">
        <v>588</v>
      </c>
      <c r="L4" s="81">
        <v>6.25E-2</v>
      </c>
      <c r="N4" s="76" t="s">
        <v>427</v>
      </c>
      <c r="O4" s="415">
        <v>0.125</v>
      </c>
      <c r="Q4" s="1" t="s">
        <v>588</v>
      </c>
      <c r="R4" s="81">
        <v>6.25E-2</v>
      </c>
      <c r="T4" s="1" t="s">
        <v>472</v>
      </c>
      <c r="U4" s="81">
        <v>3.125E-2</v>
      </c>
      <c r="V4" s="81" t="s">
        <v>313</v>
      </c>
      <c r="W4" s="1" t="s">
        <v>441</v>
      </c>
      <c r="X4" s="213">
        <v>36.4</v>
      </c>
      <c r="Y4" s="1" t="s">
        <v>462</v>
      </c>
      <c r="AA4" s="1" t="s">
        <v>368</v>
      </c>
      <c r="AB4" s="215">
        <v>0.25</v>
      </c>
      <c r="AD4" s="1" t="s">
        <v>369</v>
      </c>
      <c r="AE4" s="18">
        <v>0.25</v>
      </c>
      <c r="AF4" s="18"/>
      <c r="AG4" s="1" t="s">
        <v>514</v>
      </c>
      <c r="AH4" s="18">
        <v>0.25</v>
      </c>
      <c r="AJ4" s="1" t="s">
        <v>511</v>
      </c>
      <c r="AK4" s="18">
        <v>0.25</v>
      </c>
      <c r="AL4" s="18"/>
    </row>
    <row r="5" spans="1:45" x14ac:dyDescent="0.3">
      <c r="A5" s="1">
        <v>2</v>
      </c>
      <c r="B5" s="211" t="s">
        <v>376</v>
      </c>
      <c r="D5" s="30">
        <v>5.2499999999999998E-2</v>
      </c>
      <c r="E5" s="81">
        <v>2.1250000000000002E-2</v>
      </c>
      <c r="F5" s="81">
        <f t="shared" ref="F5:F11" si="0">SUM(D5:E5)</f>
        <v>7.3749999999999996E-2</v>
      </c>
      <c r="H5" s="1" t="s">
        <v>587</v>
      </c>
      <c r="I5" s="81">
        <v>0.125</v>
      </c>
      <c r="K5" s="1" t="s">
        <v>586</v>
      </c>
      <c r="L5" s="81">
        <v>0.125</v>
      </c>
      <c r="N5" s="76" t="s">
        <v>585</v>
      </c>
      <c r="O5" s="415">
        <v>0.125</v>
      </c>
      <c r="Q5" s="1" t="s">
        <v>392</v>
      </c>
      <c r="R5" s="81">
        <v>0.125</v>
      </c>
      <c r="T5" s="1" t="s">
        <v>390</v>
      </c>
      <c r="U5" s="81">
        <v>3.125E-2</v>
      </c>
      <c r="V5" s="81" t="s">
        <v>319</v>
      </c>
      <c r="W5" s="1" t="s">
        <v>442</v>
      </c>
      <c r="X5" s="213">
        <v>36.4</v>
      </c>
      <c r="Y5" s="1" t="s">
        <v>462</v>
      </c>
      <c r="AL5" s="85"/>
      <c r="AM5" s="1">
        <v>1</v>
      </c>
      <c r="AN5" s="1" t="s">
        <v>517</v>
      </c>
      <c r="AO5" s="217">
        <v>35980</v>
      </c>
      <c r="AP5" s="1">
        <v>19</v>
      </c>
      <c r="AR5" s="1" t="s">
        <v>511</v>
      </c>
      <c r="AS5" s="18">
        <v>0.05</v>
      </c>
    </row>
    <row r="6" spans="1:45" x14ac:dyDescent="0.3">
      <c r="A6" s="1">
        <v>3</v>
      </c>
      <c r="B6" s="211" t="s">
        <v>369</v>
      </c>
      <c r="D6" s="30">
        <v>5.2499999999999998E-2</v>
      </c>
      <c r="E6" s="81">
        <v>2.1250000000000002E-2</v>
      </c>
      <c r="F6" s="81">
        <f t="shared" si="0"/>
        <v>7.3749999999999996E-2</v>
      </c>
      <c r="H6" s="1" t="s">
        <v>437</v>
      </c>
      <c r="I6" s="81">
        <v>0.125</v>
      </c>
      <c r="K6" s="1" t="s">
        <v>392</v>
      </c>
      <c r="L6" s="81">
        <v>0.125</v>
      </c>
      <c r="N6" s="76" t="s">
        <v>392</v>
      </c>
      <c r="O6" s="415">
        <v>0.125</v>
      </c>
      <c r="Q6" s="1" t="s">
        <v>394</v>
      </c>
      <c r="R6" s="81">
        <v>0.125</v>
      </c>
      <c r="T6" s="1" t="s">
        <v>476</v>
      </c>
      <c r="U6" s="81">
        <v>3.125E-2</v>
      </c>
      <c r="V6" s="81" t="s">
        <v>320</v>
      </c>
      <c r="W6" s="1" t="s">
        <v>499</v>
      </c>
      <c r="X6" s="213">
        <v>22.2</v>
      </c>
      <c r="Y6" s="1" t="s">
        <v>462</v>
      </c>
      <c r="AL6" s="85"/>
      <c r="AM6" s="1">
        <f>AM5+1</f>
        <v>2</v>
      </c>
      <c r="AN6" s="1" t="s">
        <v>415</v>
      </c>
      <c r="AO6" s="217">
        <v>37052</v>
      </c>
      <c r="AP6" s="1">
        <v>16</v>
      </c>
      <c r="AS6" s="30"/>
    </row>
    <row r="7" spans="1:45" x14ac:dyDescent="0.3">
      <c r="A7" s="1">
        <v>4</v>
      </c>
      <c r="B7" s="211" t="s">
        <v>370</v>
      </c>
      <c r="D7" s="30">
        <v>5.2499999999999998E-2</v>
      </c>
      <c r="E7" s="81">
        <v>2.1250000000000002E-2</v>
      </c>
      <c r="F7" s="81">
        <f t="shared" si="0"/>
        <v>7.3749999999999996E-2</v>
      </c>
      <c r="H7" s="1" t="s">
        <v>434</v>
      </c>
      <c r="I7" s="81">
        <v>6.25E-2</v>
      </c>
      <c r="K7" s="1" t="s">
        <v>396</v>
      </c>
      <c r="L7" s="81">
        <v>6.25E-2</v>
      </c>
      <c r="N7" s="1" t="s">
        <v>429</v>
      </c>
      <c r="O7" s="80">
        <v>6.25E-2</v>
      </c>
      <c r="Q7" s="1" t="s">
        <v>398</v>
      </c>
      <c r="R7" s="81">
        <v>6.25E-2</v>
      </c>
      <c r="T7" s="1" t="s">
        <v>476</v>
      </c>
      <c r="U7" s="80">
        <v>1.5625E-2</v>
      </c>
      <c r="V7" s="81" t="s">
        <v>320</v>
      </c>
      <c r="W7" s="1" t="s">
        <v>497</v>
      </c>
      <c r="X7" s="213">
        <v>22.2</v>
      </c>
      <c r="AL7" s="85"/>
      <c r="AM7" s="1">
        <f t="shared" ref="AM7:AM25" si="1">AM6+1</f>
        <v>3</v>
      </c>
      <c r="AN7" s="1" t="s">
        <v>519</v>
      </c>
      <c r="AO7" s="217">
        <v>35181</v>
      </c>
      <c r="AP7" s="1">
        <v>21</v>
      </c>
      <c r="AR7" s="1" t="s">
        <v>535</v>
      </c>
      <c r="AS7" s="30">
        <v>7.4999999999999997E-2</v>
      </c>
    </row>
    <row r="8" spans="1:45" x14ac:dyDescent="0.3">
      <c r="A8" s="1">
        <v>5</v>
      </c>
      <c r="B8" s="211" t="s">
        <v>374</v>
      </c>
      <c r="D8" s="30">
        <v>5.2499999999999998E-2</v>
      </c>
      <c r="E8" s="81">
        <v>2.1250000000000002E-2</v>
      </c>
      <c r="F8" s="81">
        <f t="shared" si="0"/>
        <v>7.3749999999999996E-2</v>
      </c>
      <c r="H8" s="1" t="s">
        <v>435</v>
      </c>
      <c r="I8" s="81">
        <v>6.25E-2</v>
      </c>
      <c r="K8" s="1" t="s">
        <v>426</v>
      </c>
      <c r="L8" s="81">
        <v>6.25E-2</v>
      </c>
      <c r="N8" s="1" t="s">
        <v>433</v>
      </c>
      <c r="O8" s="80">
        <v>6.25E-2</v>
      </c>
      <c r="Q8" s="1" t="s">
        <v>380</v>
      </c>
      <c r="R8" s="81">
        <v>6.25E-2</v>
      </c>
      <c r="T8" s="1" t="s">
        <v>443</v>
      </c>
      <c r="U8" s="81">
        <v>3.125E-2</v>
      </c>
      <c r="V8" s="81" t="s">
        <v>313</v>
      </c>
      <c r="W8" s="1" t="s">
        <v>442</v>
      </c>
      <c r="X8" s="213">
        <v>25.6</v>
      </c>
      <c r="Y8" s="1" t="s">
        <v>462</v>
      </c>
      <c r="AL8" s="85"/>
      <c r="AM8" s="1">
        <f t="shared" si="1"/>
        <v>4</v>
      </c>
      <c r="AN8" s="1" t="s">
        <v>520</v>
      </c>
      <c r="AO8" s="217">
        <v>37513</v>
      </c>
      <c r="AP8" s="1">
        <v>15</v>
      </c>
      <c r="AR8" s="1" t="s">
        <v>542</v>
      </c>
      <c r="AS8" s="18">
        <v>0.05</v>
      </c>
    </row>
    <row r="9" spans="1:45" x14ac:dyDescent="0.3">
      <c r="A9" s="1">
        <v>6</v>
      </c>
      <c r="B9" s="211" t="s">
        <v>371</v>
      </c>
      <c r="D9" s="30">
        <v>5.2499999999999998E-2</v>
      </c>
      <c r="E9" s="81">
        <v>2.1250000000000002E-2</v>
      </c>
      <c r="F9" s="81">
        <f t="shared" si="0"/>
        <v>7.3749999999999996E-2</v>
      </c>
      <c r="H9" s="1" t="s">
        <v>369</v>
      </c>
      <c r="I9" s="81">
        <v>6.25E-2</v>
      </c>
      <c r="K9" s="1" t="s">
        <v>459</v>
      </c>
      <c r="L9" s="81">
        <v>3.125E-2</v>
      </c>
      <c r="N9" s="1" t="s">
        <v>422</v>
      </c>
      <c r="O9" s="80">
        <v>6.25E-2</v>
      </c>
      <c r="Q9" s="1" t="s">
        <v>371</v>
      </c>
      <c r="R9" s="81">
        <v>6.25E-2</v>
      </c>
      <c r="T9" s="1" t="s">
        <v>467</v>
      </c>
      <c r="U9" s="81">
        <v>3.125E-2</v>
      </c>
      <c r="V9" s="1" t="s">
        <v>489</v>
      </c>
      <c r="W9" s="81" t="s">
        <v>488</v>
      </c>
      <c r="X9" s="213">
        <v>8.7899999999999991</v>
      </c>
      <c r="AB9" s="7"/>
      <c r="AD9" s="1" t="s">
        <v>370</v>
      </c>
      <c r="AE9" s="85">
        <v>0.125</v>
      </c>
      <c r="AF9" s="18"/>
      <c r="AG9" s="1" t="s">
        <v>512</v>
      </c>
      <c r="AH9" s="85">
        <v>0.125</v>
      </c>
      <c r="AJ9" s="1" t="s">
        <v>512</v>
      </c>
      <c r="AK9" s="85">
        <v>0.125</v>
      </c>
      <c r="AL9" s="81"/>
      <c r="AM9" s="1">
        <f t="shared" si="1"/>
        <v>5</v>
      </c>
      <c r="AN9" s="1" t="s">
        <v>521</v>
      </c>
      <c r="AO9" s="217">
        <v>36303</v>
      </c>
      <c r="AP9" s="1">
        <v>18</v>
      </c>
    </row>
    <row r="10" spans="1:45" x14ac:dyDescent="0.3">
      <c r="A10" s="1">
        <v>7</v>
      </c>
      <c r="B10" s="211" t="s">
        <v>380</v>
      </c>
      <c r="D10" s="30">
        <v>5.2499999999999998E-2</v>
      </c>
      <c r="E10" s="81">
        <v>2.1250000000000002E-2</v>
      </c>
      <c r="F10" s="81">
        <f t="shared" si="0"/>
        <v>7.3749999999999996E-2</v>
      </c>
      <c r="H10" s="1" t="s">
        <v>426</v>
      </c>
      <c r="I10" s="81">
        <v>6.25E-2</v>
      </c>
      <c r="K10" s="1" t="s">
        <v>449</v>
      </c>
      <c r="L10" s="81">
        <v>3.125E-2</v>
      </c>
      <c r="N10" s="1" t="s">
        <v>428</v>
      </c>
      <c r="O10" s="80">
        <v>3.125E-2</v>
      </c>
      <c r="Q10" s="1" t="s">
        <v>403</v>
      </c>
      <c r="R10" s="81">
        <v>3.125E-2</v>
      </c>
      <c r="T10" s="1" t="s">
        <v>469</v>
      </c>
      <c r="U10" s="81">
        <v>3.125E-2</v>
      </c>
      <c r="V10" s="81" t="s">
        <v>313</v>
      </c>
      <c r="W10" s="1" t="s">
        <v>490</v>
      </c>
      <c r="X10" s="213">
        <v>22.7</v>
      </c>
      <c r="Y10" s="1" t="s">
        <v>462</v>
      </c>
      <c r="AA10" s="1" t="s">
        <v>513</v>
      </c>
      <c r="AB10" s="214">
        <v>0.125</v>
      </c>
      <c r="AD10" s="1" t="s">
        <v>379</v>
      </c>
      <c r="AE10" s="85">
        <v>0.125</v>
      </c>
      <c r="AF10" s="85"/>
      <c r="AG10" s="1" t="s">
        <v>455</v>
      </c>
      <c r="AH10" s="85">
        <v>0.125</v>
      </c>
      <c r="AJ10" s="1" t="s">
        <v>391</v>
      </c>
      <c r="AK10" s="85">
        <v>0.125</v>
      </c>
      <c r="AL10" s="18"/>
      <c r="AM10" s="1">
        <f t="shared" si="1"/>
        <v>6</v>
      </c>
      <c r="AN10" s="1" t="s">
        <v>522</v>
      </c>
      <c r="AO10" s="1" t="s">
        <v>534</v>
      </c>
    </row>
    <row r="11" spans="1:45" x14ac:dyDescent="0.3">
      <c r="A11" s="1">
        <v>8</v>
      </c>
      <c r="B11" s="211" t="s">
        <v>379</v>
      </c>
      <c r="D11" s="30">
        <v>5.2499999999999998E-2</v>
      </c>
      <c r="E11" s="81">
        <v>2.1250000000000002E-2</v>
      </c>
      <c r="F11" s="81">
        <f t="shared" si="0"/>
        <v>7.3749999999999996E-2</v>
      </c>
      <c r="H11" s="1" t="s">
        <v>431</v>
      </c>
      <c r="I11" s="81">
        <v>6.25E-2</v>
      </c>
      <c r="K11" s="1" t="s">
        <v>428</v>
      </c>
      <c r="L11" s="81">
        <v>3.125E-2</v>
      </c>
      <c r="N11" s="1" t="s">
        <v>438</v>
      </c>
      <c r="O11" s="80">
        <v>3.125E-2</v>
      </c>
      <c r="Q11" s="1" t="s">
        <v>402</v>
      </c>
      <c r="R11" s="81">
        <v>3.125E-2</v>
      </c>
      <c r="T11" s="1" t="s">
        <v>479</v>
      </c>
      <c r="U11" s="81">
        <v>3.125E-2</v>
      </c>
      <c r="V11" s="81" t="s">
        <v>313</v>
      </c>
      <c r="W11" s="1" t="s">
        <v>442</v>
      </c>
      <c r="X11" s="213">
        <v>7.55</v>
      </c>
      <c r="Y11" s="1" t="s">
        <v>480</v>
      </c>
      <c r="AA11" s="1" t="s">
        <v>386</v>
      </c>
      <c r="AB11" s="214">
        <v>0.125</v>
      </c>
      <c r="AD11" s="1" t="s">
        <v>386</v>
      </c>
      <c r="AE11" s="85">
        <v>0.125</v>
      </c>
      <c r="AF11" s="85"/>
      <c r="AG11" s="1" t="s">
        <v>386</v>
      </c>
      <c r="AH11" s="85">
        <v>0.125</v>
      </c>
      <c r="AJ11" s="1" t="s">
        <v>386</v>
      </c>
      <c r="AK11" s="85">
        <v>0.125</v>
      </c>
      <c r="AM11" s="1">
        <f t="shared" si="1"/>
        <v>7</v>
      </c>
      <c r="AN11" s="1" t="s">
        <v>523</v>
      </c>
      <c r="AO11" s="1" t="s">
        <v>528</v>
      </c>
      <c r="AP11" s="1" t="s">
        <v>529</v>
      </c>
    </row>
    <row r="12" spans="1:45" x14ac:dyDescent="0.3">
      <c r="B12" s="211"/>
      <c r="H12" s="1" t="s">
        <v>436</v>
      </c>
      <c r="I12" s="81">
        <v>6.25E-2</v>
      </c>
      <c r="K12" s="1" t="s">
        <v>430</v>
      </c>
      <c r="L12" s="81">
        <v>3.125E-2</v>
      </c>
      <c r="N12" s="1" t="s">
        <v>450</v>
      </c>
      <c r="O12" s="80">
        <v>3.125E-2</v>
      </c>
      <c r="Q12" s="1" t="s">
        <v>389</v>
      </c>
      <c r="R12" s="81">
        <v>3.125E-2</v>
      </c>
      <c r="T12" s="1" t="s">
        <v>481</v>
      </c>
      <c r="U12" s="81">
        <v>3.125E-2</v>
      </c>
      <c r="V12" s="1" t="s">
        <v>489</v>
      </c>
      <c r="W12" s="1" t="s">
        <v>500</v>
      </c>
      <c r="X12" s="213">
        <v>9.64</v>
      </c>
      <c r="Y12" s="1" t="s">
        <v>480</v>
      </c>
      <c r="AA12" s="1" t="s">
        <v>392</v>
      </c>
      <c r="AB12" s="85">
        <v>0.125</v>
      </c>
      <c r="AD12" s="1" t="s">
        <v>392</v>
      </c>
      <c r="AE12" s="85">
        <v>0.125</v>
      </c>
      <c r="AG12" s="1" t="s">
        <v>392</v>
      </c>
      <c r="AH12" s="85">
        <v>0.125</v>
      </c>
      <c r="AJ12" s="1" t="s">
        <v>392</v>
      </c>
      <c r="AK12" s="85">
        <v>0.125</v>
      </c>
      <c r="AM12" s="1">
        <f t="shared" si="1"/>
        <v>8</v>
      </c>
      <c r="AN12" s="1" t="s">
        <v>524</v>
      </c>
      <c r="AO12" s="1" t="s">
        <v>528</v>
      </c>
      <c r="AP12" s="1" t="s">
        <v>529</v>
      </c>
    </row>
    <row r="13" spans="1:45" x14ac:dyDescent="0.3">
      <c r="B13" s="211"/>
      <c r="D13" s="18"/>
      <c r="H13" s="1" t="s">
        <v>428</v>
      </c>
      <c r="I13" s="81">
        <v>3.125E-2</v>
      </c>
      <c r="K13" s="1" t="s">
        <v>369</v>
      </c>
      <c r="L13" s="81">
        <v>3.125E-2</v>
      </c>
      <c r="N13" s="1" t="s">
        <v>371</v>
      </c>
      <c r="O13" s="80">
        <v>3.125E-2</v>
      </c>
      <c r="Q13" s="1" t="s">
        <v>414</v>
      </c>
      <c r="R13" s="81">
        <v>3.125E-2</v>
      </c>
      <c r="T13" s="1" t="s">
        <v>495</v>
      </c>
      <c r="U13" s="81">
        <v>3.125E-2</v>
      </c>
      <c r="V13" s="81" t="s">
        <v>319</v>
      </c>
      <c r="W13" s="1" t="s">
        <v>496</v>
      </c>
      <c r="X13" s="213">
        <v>13.5</v>
      </c>
      <c r="Y13" s="1" t="s">
        <v>462</v>
      </c>
      <c r="AA13" s="1" t="s">
        <v>515</v>
      </c>
      <c r="AB13" s="214">
        <v>0.125</v>
      </c>
      <c r="AK13" s="81"/>
      <c r="AL13" s="215"/>
      <c r="AM13" s="1">
        <f t="shared" si="1"/>
        <v>9</v>
      </c>
      <c r="AN13" s="1" t="s">
        <v>525</v>
      </c>
      <c r="AO13" s="1" t="s">
        <v>528</v>
      </c>
      <c r="AP13" s="1" t="s">
        <v>529</v>
      </c>
    </row>
    <row r="14" spans="1:45" x14ac:dyDescent="0.3">
      <c r="A14" s="1">
        <v>1</v>
      </c>
      <c r="B14" s="211" t="s">
        <v>377</v>
      </c>
      <c r="F14" s="81">
        <v>3.125E-2</v>
      </c>
      <c r="H14" s="1" t="s">
        <v>438</v>
      </c>
      <c r="I14" s="81">
        <v>3.125E-2</v>
      </c>
      <c r="K14" s="1" t="s">
        <v>431</v>
      </c>
      <c r="L14" s="81">
        <v>3.125E-2</v>
      </c>
      <c r="N14" s="1" t="s">
        <v>370</v>
      </c>
      <c r="O14" s="80">
        <v>3.125E-2</v>
      </c>
      <c r="Q14" s="1" t="s">
        <v>421</v>
      </c>
      <c r="R14" s="81">
        <v>3.125E-2</v>
      </c>
      <c r="T14" s="1" t="s">
        <v>470</v>
      </c>
      <c r="U14" s="80">
        <v>1.5625E-2</v>
      </c>
      <c r="V14" s="1" t="s">
        <v>489</v>
      </c>
      <c r="W14" s="1" t="s">
        <v>497</v>
      </c>
      <c r="X14" s="213">
        <v>3.2</v>
      </c>
      <c r="Y14" s="1" t="s">
        <v>482</v>
      </c>
      <c r="AA14" s="1" t="s">
        <v>516</v>
      </c>
      <c r="AB14" s="215">
        <v>0.25</v>
      </c>
      <c r="AD14" s="1" t="s">
        <v>516</v>
      </c>
      <c r="AE14" s="18">
        <v>0.25</v>
      </c>
      <c r="AF14" s="18"/>
      <c r="AG14" s="1" t="s">
        <v>516</v>
      </c>
      <c r="AH14" s="18">
        <v>0.25</v>
      </c>
      <c r="AJ14" s="1" t="s">
        <v>516</v>
      </c>
      <c r="AK14" s="18">
        <v>0.25</v>
      </c>
      <c r="AM14" s="1">
        <f t="shared" si="1"/>
        <v>10</v>
      </c>
      <c r="AN14" s="1" t="s">
        <v>526</v>
      </c>
      <c r="AO14" s="1" t="s">
        <v>528</v>
      </c>
      <c r="AP14" s="1" t="s">
        <v>529</v>
      </c>
    </row>
    <row r="15" spans="1:45" x14ac:dyDescent="0.3">
      <c r="A15" s="1">
        <v>2</v>
      </c>
      <c r="B15" s="1" t="s">
        <v>378</v>
      </c>
      <c r="F15" s="81">
        <v>3.125E-2</v>
      </c>
      <c r="H15" s="1" t="s">
        <v>449</v>
      </c>
      <c r="I15" s="81">
        <v>3.125E-2</v>
      </c>
      <c r="K15" s="1" t="s">
        <v>370</v>
      </c>
      <c r="L15" s="81">
        <v>3.125E-2</v>
      </c>
      <c r="N15" s="1" t="s">
        <v>444</v>
      </c>
      <c r="O15" s="80">
        <v>3.125E-2</v>
      </c>
      <c r="Q15" s="1" t="s">
        <v>404</v>
      </c>
      <c r="R15" s="81">
        <v>3.125E-2</v>
      </c>
      <c r="T15" s="1" t="s">
        <v>468</v>
      </c>
      <c r="U15" s="80">
        <v>1.5625E-2</v>
      </c>
      <c r="V15" s="81" t="s">
        <v>319</v>
      </c>
      <c r="W15" s="1" t="s">
        <v>494</v>
      </c>
      <c r="X15" s="213">
        <v>7.07</v>
      </c>
      <c r="AM15" s="1">
        <f t="shared" si="1"/>
        <v>11</v>
      </c>
      <c r="AN15" s="1" t="s">
        <v>527</v>
      </c>
      <c r="AO15" s="1" t="s">
        <v>528</v>
      </c>
      <c r="AP15" s="1" t="s">
        <v>529</v>
      </c>
    </row>
    <row r="16" spans="1:45" x14ac:dyDescent="0.3">
      <c r="A16" s="1">
        <v>3</v>
      </c>
      <c r="B16" s="212" t="s">
        <v>382</v>
      </c>
      <c r="F16" s="81">
        <v>3.125E-2</v>
      </c>
      <c r="H16" s="1" t="s">
        <v>459</v>
      </c>
      <c r="I16" s="81">
        <v>3.125E-2</v>
      </c>
      <c r="K16" s="1" t="s">
        <v>444</v>
      </c>
      <c r="L16" s="80">
        <v>3.125E-2</v>
      </c>
      <c r="N16" s="1" t="s">
        <v>452</v>
      </c>
      <c r="O16" s="80">
        <v>3.125E-2</v>
      </c>
      <c r="Q16" s="1" t="s">
        <v>416</v>
      </c>
      <c r="R16" s="81">
        <v>3.125E-2</v>
      </c>
      <c r="T16" s="1" t="s">
        <v>471</v>
      </c>
      <c r="U16" s="80">
        <v>1.5625E-2</v>
      </c>
      <c r="V16" s="81" t="s">
        <v>486</v>
      </c>
      <c r="W16" s="1" t="s">
        <v>510</v>
      </c>
      <c r="X16" s="213">
        <v>8</v>
      </c>
      <c r="Y16" s="1" t="s">
        <v>480</v>
      </c>
      <c r="AB16" s="7"/>
      <c r="AM16" s="1">
        <f t="shared" si="1"/>
        <v>12</v>
      </c>
      <c r="AN16" s="1" t="s">
        <v>530</v>
      </c>
      <c r="AO16" s="217">
        <v>42338</v>
      </c>
      <c r="AP16" s="1">
        <v>2</v>
      </c>
    </row>
    <row r="17" spans="1:42" ht="16.2" thickBot="1" x14ac:dyDescent="0.35">
      <c r="A17" s="1">
        <v>4</v>
      </c>
      <c r="B17" s="212" t="s">
        <v>381</v>
      </c>
      <c r="F17" s="81">
        <v>3.125E-2</v>
      </c>
      <c r="H17" s="1" t="s">
        <v>440</v>
      </c>
      <c r="I17" s="81">
        <v>3.125E-2</v>
      </c>
      <c r="K17" s="1" t="s">
        <v>448</v>
      </c>
      <c r="L17" s="81">
        <v>3.125E-2</v>
      </c>
      <c r="N17" s="1" t="s">
        <v>453</v>
      </c>
      <c r="O17" s="80">
        <v>3.125E-2</v>
      </c>
      <c r="Q17" s="1" t="s">
        <v>413</v>
      </c>
      <c r="R17" s="81">
        <v>3.125E-2</v>
      </c>
      <c r="T17" s="1" t="s">
        <v>473</v>
      </c>
      <c r="U17" s="80">
        <v>1.5625E-2</v>
      </c>
      <c r="V17" s="81" t="s">
        <v>486</v>
      </c>
      <c r="X17" s="213">
        <v>4.71</v>
      </c>
      <c r="Y17" s="1" t="s">
        <v>477</v>
      </c>
      <c r="AB17" s="216">
        <f>SUM(AB4:AB16)</f>
        <v>1</v>
      </c>
      <c r="AE17" s="216">
        <f>SUM(AE4:AE16)</f>
        <v>1</v>
      </c>
      <c r="AF17" s="215"/>
      <c r="AH17" s="216">
        <f>SUM(AH4:AH16)</f>
        <v>1</v>
      </c>
      <c r="AK17" s="216">
        <f>SUM(AK4:AK16)</f>
        <v>1</v>
      </c>
      <c r="AM17" s="1">
        <f t="shared" si="1"/>
        <v>13</v>
      </c>
      <c r="AN17" s="1" t="s">
        <v>531</v>
      </c>
      <c r="AO17" s="218">
        <v>42948</v>
      </c>
    </row>
    <row r="18" spans="1:42" ht="16.2" thickTop="1" x14ac:dyDescent="0.3">
      <c r="A18" s="1">
        <v>5</v>
      </c>
      <c r="B18" s="211" t="s">
        <v>383</v>
      </c>
      <c r="F18" s="81">
        <v>3.125E-2</v>
      </c>
      <c r="H18" s="1" t="s">
        <v>445</v>
      </c>
      <c r="I18" s="81">
        <v>3.125E-2</v>
      </c>
      <c r="K18" s="1" t="s">
        <v>372</v>
      </c>
      <c r="L18" s="81">
        <v>3.125E-2</v>
      </c>
      <c r="N18" s="76" t="s">
        <v>589</v>
      </c>
      <c r="O18" s="415">
        <v>3.125E-2</v>
      </c>
      <c r="Q18" s="1" t="s">
        <v>372</v>
      </c>
      <c r="R18" s="81">
        <v>3.125E-2</v>
      </c>
      <c r="T18" s="1" t="s">
        <v>484</v>
      </c>
      <c r="U18" s="80">
        <v>1.5625E-2</v>
      </c>
      <c r="V18" s="1" t="s">
        <v>489</v>
      </c>
      <c r="X18" s="213">
        <v>2.38</v>
      </c>
      <c r="Y18" s="1" t="s">
        <v>483</v>
      </c>
      <c r="AM18" s="1">
        <f t="shared" si="1"/>
        <v>14</v>
      </c>
      <c r="AN18" s="1" t="s">
        <v>532</v>
      </c>
      <c r="AO18" s="217">
        <v>29911</v>
      </c>
      <c r="AP18" s="1">
        <v>36</v>
      </c>
    </row>
    <row r="19" spans="1:42" x14ac:dyDescent="0.3">
      <c r="A19" s="1">
        <v>6</v>
      </c>
      <c r="B19" s="211" t="s">
        <v>384</v>
      </c>
      <c r="F19" s="81">
        <v>3.125E-2</v>
      </c>
      <c r="H19" s="1" t="s">
        <v>460</v>
      </c>
      <c r="I19" s="81">
        <v>3.125E-2</v>
      </c>
      <c r="K19" s="1" t="s">
        <v>446</v>
      </c>
      <c r="L19" s="80">
        <v>3.125E-2</v>
      </c>
      <c r="N19" s="1" t="s">
        <v>432</v>
      </c>
      <c r="O19" s="80">
        <v>3.125E-2</v>
      </c>
      <c r="Q19" s="1" t="s">
        <v>412</v>
      </c>
      <c r="R19" s="81">
        <v>3.125E-2</v>
      </c>
      <c r="T19" s="1" t="s">
        <v>474</v>
      </c>
      <c r="U19" s="80">
        <v>1.5625E-2</v>
      </c>
      <c r="V19" s="81" t="s">
        <v>486</v>
      </c>
      <c r="X19" s="213">
        <v>4</v>
      </c>
      <c r="Y19" s="1" t="s">
        <v>424</v>
      </c>
      <c r="AM19" s="1">
        <f t="shared" si="1"/>
        <v>15</v>
      </c>
      <c r="AN19" s="1" t="s">
        <v>533</v>
      </c>
      <c r="AO19" s="1" t="s">
        <v>534</v>
      </c>
    </row>
    <row r="20" spans="1:42" x14ac:dyDescent="0.3">
      <c r="A20" s="1">
        <v>7</v>
      </c>
      <c r="B20" s="211" t="s">
        <v>372</v>
      </c>
      <c r="F20" s="81">
        <v>3.125E-2</v>
      </c>
      <c r="H20" s="1" t="s">
        <v>457</v>
      </c>
      <c r="I20" s="80">
        <v>1.5625E-2</v>
      </c>
      <c r="K20" s="1" t="s">
        <v>447</v>
      </c>
      <c r="L20" s="80">
        <v>3.125E-2</v>
      </c>
      <c r="N20" s="1" t="s">
        <v>372</v>
      </c>
      <c r="O20" s="80">
        <v>3.125E-2</v>
      </c>
      <c r="Q20" s="1" t="s">
        <v>411</v>
      </c>
      <c r="R20" s="80">
        <v>1.5625E-2</v>
      </c>
      <c r="T20" s="1" t="s">
        <v>475</v>
      </c>
      <c r="U20" s="80">
        <v>1.5625E-2</v>
      </c>
      <c r="V20" s="81" t="s">
        <v>319</v>
      </c>
      <c r="W20" s="1" t="s">
        <v>497</v>
      </c>
      <c r="X20" s="213">
        <v>24.1</v>
      </c>
      <c r="Y20" s="1" t="s">
        <v>462</v>
      </c>
      <c r="AA20" s="1" t="s">
        <v>555</v>
      </c>
      <c r="AM20" s="1">
        <f t="shared" si="1"/>
        <v>16</v>
      </c>
      <c r="AN20" s="1" t="s">
        <v>535</v>
      </c>
      <c r="AO20" s="1">
        <v>1985</v>
      </c>
      <c r="AP20" s="1">
        <v>32</v>
      </c>
    </row>
    <row r="21" spans="1:42" x14ac:dyDescent="0.3">
      <c r="A21" s="1">
        <v>8</v>
      </c>
      <c r="B21" s="211" t="s">
        <v>388</v>
      </c>
      <c r="F21" s="81">
        <v>3.125E-2</v>
      </c>
      <c r="H21" s="1" t="s">
        <v>403</v>
      </c>
      <c r="I21" s="80">
        <v>1.5625E-2</v>
      </c>
      <c r="K21" s="1" t="s">
        <v>399</v>
      </c>
      <c r="L21" s="80">
        <v>3.125E-2</v>
      </c>
      <c r="N21" s="1" t="s">
        <v>378</v>
      </c>
      <c r="O21" s="80">
        <v>1.5625E-2</v>
      </c>
      <c r="Q21" s="1" t="s">
        <v>410</v>
      </c>
      <c r="R21" s="80">
        <v>1.5625E-2</v>
      </c>
      <c r="T21" s="1" t="s">
        <v>478</v>
      </c>
      <c r="U21" s="80">
        <v>1.5625E-2</v>
      </c>
      <c r="V21" s="81"/>
      <c r="W21" s="1" t="s">
        <v>488</v>
      </c>
      <c r="X21" s="213">
        <v>0.54</v>
      </c>
      <c r="Y21" s="1" t="s">
        <v>480</v>
      </c>
      <c r="AM21" s="1">
        <f t="shared" si="1"/>
        <v>17</v>
      </c>
      <c r="AN21" s="1" t="s">
        <v>536</v>
      </c>
      <c r="AO21" s="1">
        <v>2011</v>
      </c>
      <c r="AP21" s="1">
        <v>6</v>
      </c>
    </row>
    <row r="22" spans="1:42" x14ac:dyDescent="0.3">
      <c r="H22" s="1" t="s">
        <v>425</v>
      </c>
      <c r="I22" s="80">
        <v>1.5625E-2</v>
      </c>
      <c r="K22" s="1" t="s">
        <v>400</v>
      </c>
      <c r="L22" s="80">
        <v>3.125E-2</v>
      </c>
      <c r="N22" s="1" t="s">
        <v>384</v>
      </c>
      <c r="O22" s="80">
        <v>1.5625E-2</v>
      </c>
      <c r="Q22" s="1" t="s">
        <v>409</v>
      </c>
      <c r="R22" s="80">
        <v>1.5625E-2</v>
      </c>
      <c r="T22" s="1" t="s">
        <v>487</v>
      </c>
      <c r="U22" s="80">
        <v>1.5625E-2</v>
      </c>
      <c r="W22" s="1" t="s">
        <v>488</v>
      </c>
      <c r="X22" s="213">
        <v>0.26</v>
      </c>
      <c r="AA22" s="212" t="s">
        <v>593</v>
      </c>
      <c r="AB22" s="212" t="s">
        <v>594</v>
      </c>
      <c r="AM22" s="1">
        <f t="shared" si="1"/>
        <v>18</v>
      </c>
      <c r="AN22" s="1" t="s">
        <v>537</v>
      </c>
      <c r="AO22" s="218">
        <v>39783</v>
      </c>
      <c r="AP22" s="1">
        <v>9</v>
      </c>
    </row>
    <row r="23" spans="1:42" ht="16.2" thickBot="1" x14ac:dyDescent="0.35">
      <c r="F23" s="210">
        <f>SUM(F4:F22)</f>
        <v>0.84</v>
      </c>
      <c r="H23" s="1" t="s">
        <v>402</v>
      </c>
      <c r="I23" s="80">
        <v>1.5625E-2</v>
      </c>
      <c r="K23" s="1" t="s">
        <v>401</v>
      </c>
      <c r="L23" s="80">
        <v>3.125E-2</v>
      </c>
      <c r="N23" s="1" t="s">
        <v>377</v>
      </c>
      <c r="O23" s="80">
        <v>1.5625E-2</v>
      </c>
      <c r="Q23" s="1" t="s">
        <v>408</v>
      </c>
      <c r="R23" s="80">
        <v>1.5625E-2</v>
      </c>
      <c r="T23" s="1" t="s">
        <v>491</v>
      </c>
      <c r="U23" s="80">
        <v>1.5625E-2</v>
      </c>
      <c r="V23" s="81" t="s">
        <v>486</v>
      </c>
      <c r="W23" s="1" t="s">
        <v>510</v>
      </c>
      <c r="X23" s="213"/>
      <c r="AA23" s="1" t="s">
        <v>543</v>
      </c>
      <c r="AB23" s="1" t="s">
        <v>544</v>
      </c>
      <c r="AM23" s="1">
        <f t="shared" si="1"/>
        <v>19</v>
      </c>
      <c r="AN23" s="1" t="s">
        <v>538</v>
      </c>
      <c r="AO23" s="1">
        <v>2009</v>
      </c>
      <c r="AP23" s="41">
        <v>8</v>
      </c>
    </row>
    <row r="24" spans="1:42" ht="16.2" thickTop="1" x14ac:dyDescent="0.3">
      <c r="A24" s="1" t="s">
        <v>375</v>
      </c>
      <c r="B24" s="211" t="s">
        <v>385</v>
      </c>
      <c r="H24" s="1" t="s">
        <v>406</v>
      </c>
      <c r="I24" s="80">
        <v>1.5625E-2</v>
      </c>
      <c r="K24" s="1" t="s">
        <v>423</v>
      </c>
      <c r="L24" s="80">
        <v>1.5625E-2</v>
      </c>
      <c r="N24" s="1" t="s">
        <v>465</v>
      </c>
      <c r="O24" s="80">
        <v>1.5625E-2</v>
      </c>
      <c r="Q24" s="1" t="s">
        <v>417</v>
      </c>
      <c r="R24" s="80">
        <v>1.5625E-2</v>
      </c>
      <c r="T24" s="1" t="s">
        <v>492</v>
      </c>
      <c r="U24" s="80">
        <v>1.5625E-2</v>
      </c>
      <c r="V24" s="81" t="s">
        <v>486</v>
      </c>
      <c r="W24" s="1" t="s">
        <v>501</v>
      </c>
      <c r="X24" s="213"/>
      <c r="AA24" s="1" t="s">
        <v>545</v>
      </c>
      <c r="AB24" s="1" t="s">
        <v>546</v>
      </c>
      <c r="AM24" s="1">
        <f t="shared" si="1"/>
        <v>20</v>
      </c>
      <c r="AN24" s="1" t="s">
        <v>556</v>
      </c>
      <c r="AO24" s="1">
        <v>2011</v>
      </c>
      <c r="AP24" s="1">
        <v>6</v>
      </c>
    </row>
    <row r="25" spans="1:42" x14ac:dyDescent="0.3">
      <c r="B25" s="211" t="s">
        <v>407</v>
      </c>
      <c r="H25" s="1" t="s">
        <v>439</v>
      </c>
      <c r="I25" s="80">
        <v>1.5625E-2</v>
      </c>
      <c r="K25" s="1" t="s">
        <v>402</v>
      </c>
      <c r="L25" s="80">
        <v>1.5625E-2</v>
      </c>
      <c r="N25" s="1" t="s">
        <v>456</v>
      </c>
      <c r="O25" s="80">
        <v>1.5625E-2</v>
      </c>
      <c r="Q25" s="1" t="s">
        <v>418</v>
      </c>
      <c r="R25" s="80">
        <v>1.5625E-2</v>
      </c>
      <c r="T25" s="1" t="s">
        <v>493</v>
      </c>
      <c r="U25" s="80">
        <v>1.5625E-2</v>
      </c>
      <c r="V25" s="81" t="s">
        <v>486</v>
      </c>
      <c r="W25" s="1" t="s">
        <v>501</v>
      </c>
      <c r="X25" s="213"/>
      <c r="AA25" s="1" t="s">
        <v>547</v>
      </c>
      <c r="AB25" s="1" t="s">
        <v>548</v>
      </c>
      <c r="AM25" s="1">
        <f t="shared" si="1"/>
        <v>21</v>
      </c>
      <c r="AN25" s="1" t="s">
        <v>539</v>
      </c>
      <c r="AO25" s="1" t="s">
        <v>541</v>
      </c>
      <c r="AP25" s="1">
        <v>6</v>
      </c>
    </row>
    <row r="26" spans="1:42" x14ac:dyDescent="0.3">
      <c r="B26" s="211" t="s">
        <v>405</v>
      </c>
      <c r="H26" s="1" t="s">
        <v>543</v>
      </c>
      <c r="I26" s="81">
        <v>3.125E-2</v>
      </c>
      <c r="K26" s="1" t="s">
        <v>463</v>
      </c>
      <c r="L26" s="80">
        <v>1.5625E-2</v>
      </c>
      <c r="N26" s="1" t="s">
        <v>451</v>
      </c>
      <c r="O26" s="80">
        <v>1.5625E-2</v>
      </c>
      <c r="Q26" s="1" t="s">
        <v>419</v>
      </c>
      <c r="R26" s="80">
        <v>1.5625E-2</v>
      </c>
      <c r="T26" s="1" t="s">
        <v>485</v>
      </c>
      <c r="U26" s="80">
        <v>1.5625E-2</v>
      </c>
      <c r="V26" s="81"/>
      <c r="W26" s="1" t="s">
        <v>442</v>
      </c>
      <c r="X26" s="213">
        <v>0.18</v>
      </c>
      <c r="AA26" s="1" t="s">
        <v>549</v>
      </c>
      <c r="AB26" s="1" t="s">
        <v>550</v>
      </c>
      <c r="AM26" s="1">
        <f>AM25+1</f>
        <v>22</v>
      </c>
      <c r="AN26" s="1" t="s">
        <v>540</v>
      </c>
      <c r="AO26" s="1" t="s">
        <v>541</v>
      </c>
      <c r="AP26" s="1">
        <v>6</v>
      </c>
    </row>
    <row r="27" spans="1:42" x14ac:dyDescent="0.3">
      <c r="B27" s="211" t="s">
        <v>389</v>
      </c>
      <c r="I27" s="81">
        <f>SUM(I4:I26)</f>
        <v>1.03125</v>
      </c>
      <c r="K27" s="1" t="s">
        <v>458</v>
      </c>
      <c r="L27" s="80">
        <v>1.5625E-2</v>
      </c>
      <c r="O27" s="80"/>
      <c r="Q27" s="1" t="s">
        <v>420</v>
      </c>
      <c r="R27" s="80">
        <v>1.5625E-2</v>
      </c>
      <c r="T27" s="1" t="s">
        <v>502</v>
      </c>
      <c r="U27" s="80">
        <v>1.5625E-2</v>
      </c>
      <c r="V27" s="81" t="s">
        <v>319</v>
      </c>
      <c r="W27" s="1" t="s">
        <v>504</v>
      </c>
      <c r="AA27" s="1" t="s">
        <v>551</v>
      </c>
      <c r="AB27" s="1" t="s">
        <v>552</v>
      </c>
    </row>
    <row r="28" spans="1:42" x14ac:dyDescent="0.3">
      <c r="B28" s="211" t="s">
        <v>406</v>
      </c>
      <c r="F28" s="1" t="s">
        <v>397</v>
      </c>
      <c r="H28" s="1" t="s">
        <v>591</v>
      </c>
      <c r="K28" s="1" t="s">
        <v>148</v>
      </c>
      <c r="L28" s="80">
        <v>1.5625E-2</v>
      </c>
      <c r="Q28" s="1" t="s">
        <v>428</v>
      </c>
      <c r="R28" s="80">
        <v>1.5625E-2</v>
      </c>
      <c r="T28" s="1" t="s">
        <v>503</v>
      </c>
      <c r="U28" s="80">
        <v>1.5625E-2</v>
      </c>
      <c r="V28" s="81" t="s">
        <v>319</v>
      </c>
      <c r="W28" s="1" t="s">
        <v>442</v>
      </c>
      <c r="AA28" s="1" t="s">
        <v>553</v>
      </c>
      <c r="AB28" s="1" t="s">
        <v>554</v>
      </c>
    </row>
    <row r="29" spans="1:42" x14ac:dyDescent="0.3">
      <c r="B29" s="1" t="s">
        <v>417</v>
      </c>
      <c r="K29" s="1" t="s">
        <v>148</v>
      </c>
      <c r="L29" s="80">
        <v>1.5625E-2</v>
      </c>
      <c r="O29" s="80"/>
      <c r="Q29" s="1" t="s">
        <v>444</v>
      </c>
      <c r="R29" s="80">
        <v>1.5625E-2</v>
      </c>
      <c r="AA29" s="1" t="s">
        <v>557</v>
      </c>
      <c r="AB29" s="2">
        <v>40.6</v>
      </c>
    </row>
    <row r="30" spans="1:42" x14ac:dyDescent="0.3">
      <c r="A30" s="1" t="s">
        <v>392</v>
      </c>
      <c r="B30" s="1" t="s">
        <v>390</v>
      </c>
      <c r="O30" s="80"/>
      <c r="Q30" s="1" t="s">
        <v>454</v>
      </c>
      <c r="R30" s="80">
        <v>1.5625E-2</v>
      </c>
      <c r="U30" s="81">
        <f>SUM(U4:U29)</f>
        <v>0.53125</v>
      </c>
      <c r="AA30" s="1" t="s">
        <v>558</v>
      </c>
      <c r="AB30" s="1" t="s">
        <v>592</v>
      </c>
    </row>
    <row r="31" spans="1:42" x14ac:dyDescent="0.3">
      <c r="L31" s="81">
        <f>SUM(L4:L30)</f>
        <v>1</v>
      </c>
      <c r="O31" s="80">
        <f>SUM(O4:O30)</f>
        <v>1</v>
      </c>
      <c r="Q31" s="1" t="s">
        <v>464</v>
      </c>
      <c r="R31" s="80">
        <v>1.5625E-2</v>
      </c>
      <c r="AA31" s="1" t="s">
        <v>591</v>
      </c>
    </row>
    <row r="32" spans="1:42" x14ac:dyDescent="0.3">
      <c r="L32" s="81"/>
      <c r="R32" s="81">
        <f>SUM(R4:R31)</f>
        <v>1</v>
      </c>
      <c r="AA32" s="1" t="s">
        <v>559</v>
      </c>
      <c r="AB32" s="213">
        <v>39.200000000000003</v>
      </c>
    </row>
    <row r="33" spans="18:31" x14ac:dyDescent="0.3">
      <c r="R33" s="81"/>
      <c r="AA33" s="1" t="s">
        <v>560</v>
      </c>
      <c r="AB33" s="213">
        <v>68.900000000000006</v>
      </c>
    </row>
    <row r="34" spans="18:31" x14ac:dyDescent="0.3">
      <c r="R34" s="81"/>
    </row>
    <row r="35" spans="18:31" x14ac:dyDescent="0.3">
      <c r="AA35" s="1" t="s">
        <v>378</v>
      </c>
      <c r="AB35" s="213">
        <v>38</v>
      </c>
      <c r="AD35" s="1" t="s">
        <v>561</v>
      </c>
    </row>
    <row r="36" spans="18:31" ht="15.6" customHeight="1" x14ac:dyDescent="0.3">
      <c r="AA36" s="1" t="s">
        <v>572</v>
      </c>
      <c r="AB36" s="213">
        <v>14.3</v>
      </c>
      <c r="AD36" s="1" t="s">
        <v>561</v>
      </c>
    </row>
    <row r="37" spans="18:31" ht="18" customHeight="1" x14ac:dyDescent="0.3">
      <c r="AA37" s="89" t="s">
        <v>568</v>
      </c>
      <c r="AB37" s="213">
        <v>18.7</v>
      </c>
      <c r="AD37" s="1" t="s">
        <v>561</v>
      </c>
      <c r="AE37" s="1" t="s">
        <v>566</v>
      </c>
    </row>
    <row r="38" spans="18:31" x14ac:dyDescent="0.3">
      <c r="AA38" s="219" t="s">
        <v>569</v>
      </c>
      <c r="AB38" s="213">
        <v>10.6</v>
      </c>
      <c r="AD38" s="1" t="s">
        <v>562</v>
      </c>
      <c r="AE38" s="1" t="s">
        <v>566</v>
      </c>
    </row>
    <row r="39" spans="18:31" ht="16.95" customHeight="1" x14ac:dyDescent="0.3">
      <c r="AA39" s="219" t="s">
        <v>569</v>
      </c>
      <c r="AB39" s="213">
        <v>5.6</v>
      </c>
      <c r="AD39" s="1" t="s">
        <v>563</v>
      </c>
      <c r="AE39" s="1" t="s">
        <v>566</v>
      </c>
    </row>
    <row r="40" spans="18:31" x14ac:dyDescent="0.3">
      <c r="AA40" s="219" t="s">
        <v>570</v>
      </c>
      <c r="AB40" s="213">
        <v>4.0999999999999996</v>
      </c>
      <c r="AD40" s="1" t="s">
        <v>564</v>
      </c>
      <c r="AE40" s="1" t="s">
        <v>567</v>
      </c>
    </row>
    <row r="41" spans="18:31" x14ac:dyDescent="0.3">
      <c r="AA41" s="89" t="s">
        <v>571</v>
      </c>
      <c r="AB41" s="213">
        <v>3.1</v>
      </c>
      <c r="AD41" s="1" t="s">
        <v>565</v>
      </c>
      <c r="AE41" s="1" t="s">
        <v>566</v>
      </c>
    </row>
    <row r="43" spans="18:31" x14ac:dyDescent="0.3">
      <c r="AA43" s="1" t="s">
        <v>573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9785-AAE6-4652-BE19-700B6DEDA7F4}">
  <dimension ref="A2:EK106"/>
  <sheetViews>
    <sheetView showGridLines="0" topLeftCell="CU20" workbookViewId="0">
      <selection activeCell="CZ92" sqref="CZ92"/>
    </sheetView>
  </sheetViews>
  <sheetFormatPr defaultColWidth="8.88671875" defaultRowHeight="15.6" x14ac:dyDescent="0.3"/>
  <cols>
    <col min="1" max="1" width="5.88671875" style="1" customWidth="1"/>
    <col min="2" max="2" width="22.33203125" style="1" customWidth="1"/>
    <col min="3" max="3" width="19" style="1" bestFit="1" customWidth="1"/>
    <col min="4" max="4" width="24.21875" style="1" bestFit="1" customWidth="1"/>
    <col min="5" max="5" width="26.6640625" style="1" customWidth="1"/>
    <col min="6" max="6" width="7.33203125" style="1" customWidth="1"/>
    <col min="7" max="7" width="22.88671875" style="1" bestFit="1" customWidth="1"/>
    <col min="8" max="8" width="6.6640625" style="1" customWidth="1"/>
    <col min="9" max="9" width="22.33203125" style="1" customWidth="1"/>
    <col min="10" max="10" width="8.88671875" style="1"/>
    <col min="11" max="11" width="22.33203125" style="1" customWidth="1"/>
    <col min="12" max="12" width="8.88671875" style="1"/>
    <col min="13" max="13" width="21.33203125" style="1" bestFit="1" customWidth="1"/>
    <col min="14" max="14" width="8.88671875" style="1"/>
    <col min="15" max="15" width="20.5546875" style="1" customWidth="1"/>
    <col min="16" max="16" width="8.88671875" style="1"/>
    <col min="17" max="17" width="21.33203125" style="1" bestFit="1" customWidth="1"/>
    <col min="18" max="18" width="8.88671875" style="1"/>
    <col min="19" max="19" width="20.44140625" style="1" customWidth="1"/>
    <col min="20" max="20" width="8.88671875" style="1"/>
    <col min="21" max="21" width="23.6640625" style="1" bestFit="1" customWidth="1"/>
    <col min="22" max="22" width="8.88671875" style="1"/>
    <col min="23" max="23" width="23.109375" style="1" bestFit="1" customWidth="1"/>
    <col min="24" max="24" width="8.88671875" style="1"/>
    <col min="25" max="25" width="21.33203125" style="1" bestFit="1" customWidth="1"/>
    <col min="26" max="26" width="11.6640625" style="1" customWidth="1"/>
    <col min="27" max="27" width="22.6640625" style="1" bestFit="1" customWidth="1"/>
    <col min="28" max="28" width="8.88671875" style="1"/>
    <col min="29" max="29" width="21.33203125" style="1" bestFit="1" customWidth="1"/>
    <col min="30" max="30" width="8.88671875" style="1" customWidth="1"/>
    <col min="31" max="31" width="20.21875" style="1" bestFit="1" customWidth="1"/>
    <col min="32" max="95" width="20.21875" style="1" customWidth="1"/>
    <col min="96" max="96" width="8.88671875" style="1"/>
    <col min="97" max="97" width="21.33203125" style="1" bestFit="1" customWidth="1"/>
    <col min="98" max="98" width="8.88671875" style="1"/>
    <col min="99" max="99" width="21.21875" style="1" customWidth="1"/>
    <col min="100" max="100" width="8.88671875" style="1"/>
    <col min="101" max="101" width="23.6640625" style="1" customWidth="1"/>
    <col min="102" max="102" width="9.44140625" style="1" bestFit="1" customWidth="1"/>
    <col min="103" max="103" width="36.44140625" style="1" customWidth="1"/>
    <col min="104" max="104" width="28" style="1" bestFit="1" customWidth="1"/>
    <col min="105" max="105" width="11.109375" style="1" bestFit="1" customWidth="1"/>
    <col min="106" max="106" width="26.77734375" style="1" customWidth="1"/>
    <col min="107" max="107" width="35.6640625" style="1" customWidth="1"/>
    <col min="108" max="108" width="39.109375" style="1" bestFit="1" customWidth="1"/>
    <col min="109" max="109" width="23.109375" style="1" customWidth="1"/>
    <col min="110" max="110" width="24.21875" style="1" bestFit="1" customWidth="1"/>
    <col min="111" max="111" width="8.88671875" style="1"/>
    <col min="112" max="112" width="21.44140625" style="1" bestFit="1" customWidth="1"/>
    <col min="113" max="113" width="8.88671875" style="1"/>
    <col min="114" max="114" width="9.33203125" style="1" customWidth="1"/>
    <col min="115" max="116" width="8.88671875" style="1"/>
    <col min="117" max="117" width="8.88671875" style="1" customWidth="1"/>
    <col min="118" max="118" width="19.6640625" style="1" customWidth="1"/>
    <col min="119" max="119" width="11.109375" style="1" bestFit="1" customWidth="1"/>
    <col min="120" max="120" width="29.5546875" style="1" bestFit="1" customWidth="1"/>
    <col min="121" max="121" width="8.88671875" style="1"/>
    <col min="122" max="122" width="23.109375" style="1" bestFit="1" customWidth="1"/>
    <col min="123" max="123" width="16.88671875" style="12" customWidth="1"/>
    <col min="124" max="124" width="22.44140625" style="1" bestFit="1" customWidth="1"/>
    <col min="125" max="125" width="7.109375" style="1" customWidth="1"/>
    <col min="126" max="126" width="20.21875" style="1" customWidth="1"/>
    <col min="127" max="127" width="9.109375" style="12" customWidth="1"/>
    <col min="128" max="128" width="19.109375" style="1" bestFit="1" customWidth="1"/>
    <col min="129" max="130" width="8.88671875" style="1"/>
    <col min="131" max="131" width="20.6640625" style="1" customWidth="1"/>
    <col min="132" max="132" width="3.6640625" style="1" customWidth="1"/>
    <col min="133" max="134" width="21.88671875" style="1" customWidth="1"/>
    <col min="135" max="135" width="8" style="1" customWidth="1"/>
    <col min="136" max="136" width="21.44140625" style="1" customWidth="1"/>
    <col min="137" max="137" width="19.109375" style="1" bestFit="1" customWidth="1"/>
    <col min="138" max="138" width="25.33203125" style="690" customWidth="1"/>
    <col min="139" max="139" width="8.88671875" style="12"/>
    <col min="140" max="140" width="8.88671875" style="1"/>
    <col min="141" max="141" width="17.44140625" style="1" bestFit="1" customWidth="1"/>
    <col min="142" max="16384" width="8.88671875" style="1"/>
  </cols>
  <sheetData>
    <row r="2" spans="1:139" s="238" customFormat="1" ht="27.6" x14ac:dyDescent="0.65">
      <c r="C2" s="914" t="s">
        <v>1366</v>
      </c>
      <c r="D2" s="76"/>
      <c r="E2" s="76"/>
      <c r="F2" s="1080" t="s">
        <v>1365</v>
      </c>
      <c r="G2" s="920" t="s">
        <v>898</v>
      </c>
      <c r="H2" s="76"/>
      <c r="I2" s="915"/>
      <c r="K2" s="919" t="s">
        <v>897</v>
      </c>
      <c r="L2" s="76"/>
      <c r="M2" s="76"/>
      <c r="Q2" s="918" t="s">
        <v>1302</v>
      </c>
      <c r="U2" s="920" t="s">
        <v>1301</v>
      </c>
      <c r="W2" s="921" t="s">
        <v>1304</v>
      </c>
      <c r="AA2" s="922"/>
      <c r="DS2" s="916"/>
      <c r="DW2" s="916"/>
      <c r="EH2" s="917"/>
      <c r="EI2" s="916"/>
    </row>
    <row r="3" spans="1:139" ht="25.95" customHeight="1" x14ac:dyDescent="0.5">
      <c r="C3" s="570" t="s">
        <v>1446</v>
      </c>
      <c r="F3" s="1081"/>
      <c r="G3" s="648"/>
      <c r="CZ3" s="999" t="s">
        <v>1355</v>
      </c>
      <c r="DB3" s="236">
        <f>CY4*DB4</f>
        <v>457743</v>
      </c>
      <c r="DC3" s="1" t="s">
        <v>1497</v>
      </c>
    </row>
    <row r="4" spans="1:139" ht="15.6" customHeight="1" x14ac:dyDescent="0.5">
      <c r="C4" s="570"/>
      <c r="D4" s="7"/>
      <c r="E4" s="7" t="s">
        <v>1292</v>
      </c>
      <c r="F4" s="1081"/>
      <c r="G4" s="632" t="s">
        <v>288</v>
      </c>
      <c r="H4" s="7"/>
      <c r="I4" s="632" t="s">
        <v>970</v>
      </c>
      <c r="J4" s="7"/>
      <c r="K4" s="7"/>
      <c r="L4" s="7"/>
      <c r="M4" s="632" t="s">
        <v>970</v>
      </c>
      <c r="N4" s="7"/>
      <c r="O4" s="7"/>
      <c r="P4" s="7"/>
      <c r="Q4" s="632" t="s">
        <v>970</v>
      </c>
      <c r="R4" s="7"/>
      <c r="S4" s="7"/>
      <c r="T4" s="7"/>
      <c r="U4" s="632" t="s">
        <v>970</v>
      </c>
      <c r="V4" s="7"/>
      <c r="W4" s="7"/>
      <c r="X4" s="7"/>
      <c r="Y4" s="632" t="s">
        <v>970</v>
      </c>
      <c r="Z4" s="7"/>
      <c r="AA4" s="7"/>
      <c r="AB4" s="7"/>
      <c r="AC4" s="632" t="s">
        <v>970</v>
      </c>
      <c r="AD4" s="7"/>
      <c r="AE4" s="7"/>
      <c r="AF4" s="7"/>
      <c r="AG4" s="632" t="s">
        <v>970</v>
      </c>
      <c r="AH4" s="7"/>
      <c r="AI4" s="7"/>
      <c r="AJ4" s="7"/>
      <c r="AK4" s="632" t="s">
        <v>970</v>
      </c>
      <c r="AL4" s="7"/>
      <c r="AM4" s="7"/>
      <c r="AN4" s="7"/>
      <c r="AO4" s="632" t="s">
        <v>970</v>
      </c>
      <c r="AP4" s="7"/>
      <c r="AQ4" s="7"/>
      <c r="AR4" s="7"/>
      <c r="AS4" s="632" t="s">
        <v>970</v>
      </c>
      <c r="AT4" s="7"/>
      <c r="AU4" s="7"/>
      <c r="AV4" s="7"/>
      <c r="AW4" s="632" t="s">
        <v>970</v>
      </c>
      <c r="AX4" s="7"/>
      <c r="AY4" s="7"/>
      <c r="AZ4" s="7"/>
      <c r="BA4" s="632" t="s">
        <v>970</v>
      </c>
      <c r="BB4" s="7"/>
      <c r="BC4" s="7"/>
      <c r="BD4" s="7"/>
      <c r="BE4" s="632" t="s">
        <v>970</v>
      </c>
      <c r="BF4" s="7"/>
      <c r="BG4" s="7"/>
      <c r="BH4" s="7"/>
      <c r="BI4" s="632" t="s">
        <v>970</v>
      </c>
      <c r="BJ4" s="7"/>
      <c r="BK4" s="7"/>
      <c r="BL4" s="7"/>
      <c r="BM4" s="632" t="s">
        <v>970</v>
      </c>
      <c r="BN4" s="7"/>
      <c r="BO4" s="7"/>
      <c r="BP4" s="7"/>
      <c r="BQ4" s="632" t="s">
        <v>970</v>
      </c>
      <c r="BR4" s="7"/>
      <c r="BS4" s="7"/>
      <c r="BT4" s="7"/>
      <c r="BU4" s="632" t="s">
        <v>970</v>
      </c>
      <c r="BV4" s="7"/>
      <c r="BW4" s="7"/>
      <c r="BX4" s="7"/>
      <c r="BY4" s="632" t="s">
        <v>970</v>
      </c>
      <c r="BZ4" s="7"/>
      <c r="CA4" s="7"/>
      <c r="CB4" s="7"/>
      <c r="CC4" s="632" t="s">
        <v>970</v>
      </c>
      <c r="CD4" s="7"/>
      <c r="CE4" s="7"/>
      <c r="CF4" s="7"/>
      <c r="CG4" s="632" t="s">
        <v>970</v>
      </c>
      <c r="CH4" s="7"/>
      <c r="CI4" s="7"/>
      <c r="CJ4" s="7"/>
      <c r="CK4" s="632" t="s">
        <v>970</v>
      </c>
      <c r="CL4" s="7"/>
      <c r="CM4" s="7"/>
      <c r="CN4" s="7"/>
      <c r="CO4" s="632" t="s">
        <v>970</v>
      </c>
      <c r="CP4" s="7"/>
      <c r="CQ4" s="7"/>
      <c r="CR4" s="7"/>
      <c r="CS4" s="632" t="s">
        <v>970</v>
      </c>
      <c r="CT4" s="7"/>
      <c r="CU4" s="7"/>
      <c r="CV4" s="7"/>
      <c r="CW4" s="632" t="s">
        <v>970</v>
      </c>
      <c r="CX4" s="7"/>
      <c r="CY4" s="1266">
        <v>18309</v>
      </c>
      <c r="CZ4" s="236">
        <v>457743</v>
      </c>
      <c r="DA4" s="236"/>
      <c r="DB4" s="483">
        <f>CZ4/CY4</f>
        <v>25.000983123054237</v>
      </c>
      <c r="DC4" s="1" t="s">
        <v>1498</v>
      </c>
    </row>
    <row r="5" spans="1:139" ht="18.600000000000001" x14ac:dyDescent="0.45">
      <c r="C5" s="37" t="s">
        <v>972</v>
      </c>
      <c r="D5" s="619"/>
      <c r="E5" s="408">
        <f>E11</f>
        <v>18309735474.494347</v>
      </c>
      <c r="F5" s="1082">
        <v>1</v>
      </c>
      <c r="G5" s="408">
        <f>E5*F5</f>
        <v>18309735474.494347</v>
      </c>
      <c r="H5" s="409">
        <v>1</v>
      </c>
      <c r="I5" s="408">
        <f>G5*H5</f>
        <v>18309735474.494347</v>
      </c>
      <c r="J5" s="409">
        <v>1</v>
      </c>
      <c r="K5" s="408">
        <f>I5*J5</f>
        <v>18309735474.494347</v>
      </c>
      <c r="L5" s="409">
        <f>H5</f>
        <v>1</v>
      </c>
      <c r="M5" s="408">
        <f>K5*L5</f>
        <v>18309735474.494347</v>
      </c>
      <c r="N5" s="409">
        <f>J5</f>
        <v>1</v>
      </c>
      <c r="O5" s="408">
        <f>M5*N5</f>
        <v>18309735474.494347</v>
      </c>
      <c r="P5" s="409">
        <f>L5</f>
        <v>1</v>
      </c>
      <c r="Q5" s="408">
        <f>O5*P5</f>
        <v>18309735474.494347</v>
      </c>
      <c r="R5" s="409">
        <f>N5</f>
        <v>1</v>
      </c>
      <c r="S5" s="408">
        <f>Q5*R5</f>
        <v>18309735474.494347</v>
      </c>
      <c r="T5" s="409">
        <f>P5</f>
        <v>1</v>
      </c>
      <c r="U5" s="408">
        <f>S5*T5</f>
        <v>18309735474.494347</v>
      </c>
      <c r="V5" s="409">
        <f>R5</f>
        <v>1</v>
      </c>
      <c r="W5" s="408">
        <f>U5*V5</f>
        <v>18309735474.494347</v>
      </c>
      <c r="X5" s="409">
        <f>T5</f>
        <v>1</v>
      </c>
      <c r="Y5" s="408">
        <f>W5*X5</f>
        <v>18309735474.494347</v>
      </c>
      <c r="Z5" s="409">
        <f>V5</f>
        <v>1</v>
      </c>
      <c r="AA5" s="408">
        <f>Y5*Z5</f>
        <v>18309735474.494347</v>
      </c>
      <c r="AB5" s="409">
        <f>X5</f>
        <v>1</v>
      </c>
      <c r="AC5" s="408">
        <f>AA5*AB5</f>
        <v>18309735474.494347</v>
      </c>
      <c r="AD5" s="409">
        <f>Z5</f>
        <v>1</v>
      </c>
      <c r="AE5" s="408">
        <f>AC5*AD5</f>
        <v>18309735474.494347</v>
      </c>
      <c r="AF5" s="409">
        <f>AB5</f>
        <v>1</v>
      </c>
      <c r="AG5" s="408">
        <f>AE5*AF5</f>
        <v>18309735474.494347</v>
      </c>
      <c r="AH5" s="409">
        <f>AD5</f>
        <v>1</v>
      </c>
      <c r="AI5" s="408">
        <f>AG5*AH5</f>
        <v>18309735474.494347</v>
      </c>
      <c r="AJ5" s="409">
        <f>AF5</f>
        <v>1</v>
      </c>
      <c r="AK5" s="408">
        <f>AI5*AJ5</f>
        <v>18309735474.494347</v>
      </c>
      <c r="AL5" s="409">
        <f>AH5</f>
        <v>1</v>
      </c>
      <c r="AM5" s="408">
        <f>AK5*AL5</f>
        <v>18309735474.494347</v>
      </c>
      <c r="AN5" s="409">
        <f>AJ5</f>
        <v>1</v>
      </c>
      <c r="AO5" s="408">
        <f>AM5*AN5</f>
        <v>18309735474.494347</v>
      </c>
      <c r="AP5" s="409">
        <f>AL5</f>
        <v>1</v>
      </c>
      <c r="AQ5" s="408">
        <f>AO5*AP5</f>
        <v>18309735474.494347</v>
      </c>
      <c r="AR5" s="409">
        <f>AN5</f>
        <v>1</v>
      </c>
      <c r="AS5" s="408">
        <f>AQ5*AR5</f>
        <v>18309735474.494347</v>
      </c>
      <c r="AT5" s="409">
        <f>AP5</f>
        <v>1</v>
      </c>
      <c r="AU5" s="408">
        <f>AS5*AT5</f>
        <v>18309735474.494347</v>
      </c>
      <c r="AV5" s="409">
        <f>AR5</f>
        <v>1</v>
      </c>
      <c r="AW5" s="408">
        <f>AU5*AV5</f>
        <v>18309735474.494347</v>
      </c>
      <c r="AX5" s="409">
        <f>AT5</f>
        <v>1</v>
      </c>
      <c r="AY5" s="408">
        <f>AW5*AX5</f>
        <v>18309735474.494347</v>
      </c>
      <c r="AZ5" s="409">
        <f>AV5</f>
        <v>1</v>
      </c>
      <c r="BA5" s="408">
        <f>AY5*AZ5</f>
        <v>18309735474.494347</v>
      </c>
      <c r="BB5" s="409">
        <f>AX5</f>
        <v>1</v>
      </c>
      <c r="BC5" s="408">
        <f>BA5*BB5</f>
        <v>18309735474.494347</v>
      </c>
      <c r="BD5" s="409">
        <f>AR5</f>
        <v>1</v>
      </c>
      <c r="BE5" s="408">
        <f>BC5*BD5</f>
        <v>18309735474.494347</v>
      </c>
      <c r="BF5" s="409">
        <f>AT5</f>
        <v>1</v>
      </c>
      <c r="BG5" s="408">
        <f>BE5*BF5</f>
        <v>18309735474.494347</v>
      </c>
      <c r="BH5" s="409">
        <f>BD5</f>
        <v>1</v>
      </c>
      <c r="BI5" s="408">
        <f>BG5*BH5</f>
        <v>18309735474.494347</v>
      </c>
      <c r="BJ5" s="409">
        <f>BF5</f>
        <v>1</v>
      </c>
      <c r="BK5" s="408">
        <f>BI5*BJ5</f>
        <v>18309735474.494347</v>
      </c>
      <c r="BL5" s="409">
        <f>BH5</f>
        <v>1</v>
      </c>
      <c r="BM5" s="408">
        <f>BK5*BL5</f>
        <v>18309735474.494347</v>
      </c>
      <c r="BN5" s="409">
        <f>BJ5</f>
        <v>1</v>
      </c>
      <c r="BO5" s="408">
        <f>BM5*BN5</f>
        <v>18309735474.494347</v>
      </c>
      <c r="BP5" s="409">
        <f>BL5</f>
        <v>1</v>
      </c>
      <c r="BQ5" s="408">
        <f>BO5*BP5</f>
        <v>18309735474.494347</v>
      </c>
      <c r="BR5" s="409">
        <f>BN5</f>
        <v>1</v>
      </c>
      <c r="BS5" s="408">
        <f>BQ5*BR5</f>
        <v>18309735474.494347</v>
      </c>
      <c r="BT5" s="409">
        <f>BP5</f>
        <v>1</v>
      </c>
      <c r="BU5" s="408">
        <f>BS5*BT5</f>
        <v>18309735474.494347</v>
      </c>
      <c r="BV5" s="409">
        <f>BR5</f>
        <v>1</v>
      </c>
      <c r="BW5" s="408">
        <f>BU5*BV5</f>
        <v>18309735474.494347</v>
      </c>
      <c r="BX5" s="409">
        <f>BT5</f>
        <v>1</v>
      </c>
      <c r="BY5" s="408">
        <f>BW5*BX5</f>
        <v>18309735474.494347</v>
      </c>
      <c r="BZ5" s="409">
        <f>BV5</f>
        <v>1</v>
      </c>
      <c r="CA5" s="408">
        <f>BY5*BZ5</f>
        <v>18309735474.494347</v>
      </c>
      <c r="CB5" s="409">
        <f>BX5</f>
        <v>1</v>
      </c>
      <c r="CC5" s="408">
        <f>CA5*CB5</f>
        <v>18309735474.494347</v>
      </c>
      <c r="CD5" s="409">
        <f>BZ5</f>
        <v>1</v>
      </c>
      <c r="CE5" s="408">
        <f>CC5*CD5</f>
        <v>18309735474.494347</v>
      </c>
      <c r="CF5" s="409">
        <f>CB5</f>
        <v>1</v>
      </c>
      <c r="CG5" s="408">
        <f>CE5*CF5</f>
        <v>18309735474.494347</v>
      </c>
      <c r="CH5" s="409">
        <f>CD5</f>
        <v>1</v>
      </c>
      <c r="CI5" s="408">
        <f>CG5*CH5</f>
        <v>18309735474.494347</v>
      </c>
      <c r="CJ5" s="409">
        <f>BX5</f>
        <v>1</v>
      </c>
      <c r="CK5" s="408">
        <f>CI5*CJ5</f>
        <v>18309735474.494347</v>
      </c>
      <c r="CL5" s="409">
        <f>BZ5</f>
        <v>1</v>
      </c>
      <c r="CM5" s="408">
        <f>CK5*CL5</f>
        <v>18309735474.494347</v>
      </c>
      <c r="CN5" s="409">
        <f>CJ5</f>
        <v>1</v>
      </c>
      <c r="CO5" s="408">
        <f>CM5*CN5</f>
        <v>18309735474.494347</v>
      </c>
      <c r="CP5" s="409">
        <f>CL5</f>
        <v>1</v>
      </c>
      <c r="CQ5" s="408">
        <f>CO5*CP5</f>
        <v>18309735474.494347</v>
      </c>
      <c r="CR5" s="409">
        <f>AB5</f>
        <v>1</v>
      </c>
      <c r="CS5" s="408">
        <f>CQ5*CR5</f>
        <v>18309735474.494347</v>
      </c>
      <c r="CT5" s="409">
        <f>AD5</f>
        <v>1</v>
      </c>
      <c r="CU5" s="408">
        <f>CS5*CT5</f>
        <v>18309735474.494347</v>
      </c>
      <c r="CV5" s="409">
        <f>CR5</f>
        <v>1</v>
      </c>
      <c r="CW5" s="408">
        <f>CU5*CV5</f>
        <v>18309735474.494347</v>
      </c>
      <c r="CX5" s="409">
        <f>CT5</f>
        <v>1</v>
      </c>
      <c r="CY5" s="408">
        <f>CW5*CX5</f>
        <v>18309735474.494347</v>
      </c>
      <c r="CZ5" s="719">
        <f>G5+I5+M5+Q5+U5+Y5+AC5+AG5+AK5+AO5+AS5+AW5+BA5+BE5+BI5+BM5+BQ5+BU5+BY5+CC5+CG5+CK5+CO5+CS5+CW5</f>
        <v>457743386862.35852</v>
      </c>
      <c r="DB5" s="621">
        <f>CV5</f>
        <v>1</v>
      </c>
      <c r="DC5" s="622">
        <f>CY5*DB5</f>
        <v>18309735474.494347</v>
      </c>
      <c r="DD5" s="626"/>
      <c r="DE5" s="626"/>
      <c r="DF5" s="627"/>
    </row>
    <row r="6" spans="1:139" x14ac:dyDescent="0.3">
      <c r="F6" s="1081"/>
      <c r="CZ6" s="93"/>
      <c r="DF6" s="628"/>
    </row>
    <row r="7" spans="1:139" x14ac:dyDescent="0.3">
      <c r="B7" s="583"/>
      <c r="C7" s="4"/>
      <c r="D7" s="4"/>
      <c r="E7" s="120" t="s">
        <v>218</v>
      </c>
      <c r="F7" s="1083"/>
      <c r="G7" s="120" t="s">
        <v>288</v>
      </c>
      <c r="H7" s="462" t="s">
        <v>749</v>
      </c>
      <c r="I7" s="170" t="s">
        <v>1373</v>
      </c>
      <c r="J7" s="175" t="s">
        <v>297</v>
      </c>
      <c r="K7" s="170" t="s">
        <v>59</v>
      </c>
      <c r="L7" s="301" t="s">
        <v>749</v>
      </c>
      <c r="M7" s="121" t="s">
        <v>1374</v>
      </c>
      <c r="N7" s="173" t="s">
        <v>297</v>
      </c>
      <c r="O7" s="121" t="s">
        <v>59</v>
      </c>
      <c r="P7" s="462" t="s">
        <v>749</v>
      </c>
      <c r="Q7" s="170" t="s">
        <v>1375</v>
      </c>
      <c r="R7" s="175" t="s">
        <v>297</v>
      </c>
      <c r="S7" s="170" t="s">
        <v>59</v>
      </c>
      <c r="T7" s="301" t="s">
        <v>749</v>
      </c>
      <c r="U7" s="121" t="s">
        <v>1376</v>
      </c>
      <c r="V7" s="173" t="s">
        <v>297</v>
      </c>
      <c r="W7" s="121" t="s">
        <v>59</v>
      </c>
      <c r="X7" s="462" t="s">
        <v>749</v>
      </c>
      <c r="Y7" s="170" t="s">
        <v>1377</v>
      </c>
      <c r="Z7" s="175" t="s">
        <v>297</v>
      </c>
      <c r="AA7" s="170" t="s">
        <v>59</v>
      </c>
      <c r="AB7" s="301" t="s">
        <v>749</v>
      </c>
      <c r="AC7" s="121" t="s">
        <v>1378</v>
      </c>
      <c r="AD7" s="173" t="s">
        <v>297</v>
      </c>
      <c r="AE7" s="121" t="s">
        <v>59</v>
      </c>
      <c r="AF7" s="1221" t="s">
        <v>749</v>
      </c>
      <c r="AG7" s="1222" t="s">
        <v>1379</v>
      </c>
      <c r="AH7" s="1223" t="s">
        <v>297</v>
      </c>
      <c r="AI7" s="1222" t="s">
        <v>59</v>
      </c>
      <c r="AJ7" s="1217" t="s">
        <v>749</v>
      </c>
      <c r="AK7" s="925" t="s">
        <v>1380</v>
      </c>
      <c r="AL7" s="1162" t="s">
        <v>297</v>
      </c>
      <c r="AM7" s="925" t="s">
        <v>59</v>
      </c>
      <c r="AN7" s="1221" t="s">
        <v>749</v>
      </c>
      <c r="AO7" s="1222" t="s">
        <v>1456</v>
      </c>
      <c r="AP7" s="1223" t="s">
        <v>297</v>
      </c>
      <c r="AQ7" s="1222" t="s">
        <v>59</v>
      </c>
      <c r="AR7" s="1217" t="s">
        <v>749</v>
      </c>
      <c r="AS7" s="925" t="s">
        <v>1458</v>
      </c>
      <c r="AT7" s="1162" t="s">
        <v>297</v>
      </c>
      <c r="AU7" s="925" t="s">
        <v>59</v>
      </c>
      <c r="AV7" s="1221" t="s">
        <v>749</v>
      </c>
      <c r="AW7" s="1222" t="s">
        <v>1459</v>
      </c>
      <c r="AX7" s="1223" t="s">
        <v>297</v>
      </c>
      <c r="AY7" s="1222" t="s">
        <v>59</v>
      </c>
      <c r="AZ7" s="1217" t="s">
        <v>749</v>
      </c>
      <c r="BA7" s="925" t="s">
        <v>1460</v>
      </c>
      <c r="BB7" s="1162" t="s">
        <v>297</v>
      </c>
      <c r="BC7" s="925" t="s">
        <v>59</v>
      </c>
      <c r="BD7" s="1221" t="s">
        <v>749</v>
      </c>
      <c r="BE7" s="1222" t="s">
        <v>1461</v>
      </c>
      <c r="BF7" s="1223" t="s">
        <v>297</v>
      </c>
      <c r="BG7" s="1222" t="s">
        <v>59</v>
      </c>
      <c r="BH7" s="1217" t="s">
        <v>749</v>
      </c>
      <c r="BI7" s="925" t="s">
        <v>1462</v>
      </c>
      <c r="BJ7" s="1162" t="s">
        <v>297</v>
      </c>
      <c r="BK7" s="925" t="s">
        <v>59</v>
      </c>
      <c r="BL7" s="1221" t="s">
        <v>749</v>
      </c>
      <c r="BM7" s="1222" t="s">
        <v>1463</v>
      </c>
      <c r="BN7" s="1223" t="s">
        <v>297</v>
      </c>
      <c r="BO7" s="1222" t="s">
        <v>59</v>
      </c>
      <c r="BP7" s="1217" t="s">
        <v>749</v>
      </c>
      <c r="BQ7" s="925" t="s">
        <v>1464</v>
      </c>
      <c r="BR7" s="1162" t="s">
        <v>297</v>
      </c>
      <c r="BS7" s="925" t="s">
        <v>59</v>
      </c>
      <c r="BT7" s="1221" t="s">
        <v>749</v>
      </c>
      <c r="BU7" s="1222" t="s">
        <v>1469</v>
      </c>
      <c r="BV7" s="1223" t="s">
        <v>297</v>
      </c>
      <c r="BW7" s="1222" t="s">
        <v>59</v>
      </c>
      <c r="BX7" s="1217" t="s">
        <v>749</v>
      </c>
      <c r="BY7" s="925" t="s">
        <v>1470</v>
      </c>
      <c r="BZ7" s="1162" t="s">
        <v>297</v>
      </c>
      <c r="CA7" s="925" t="s">
        <v>59</v>
      </c>
      <c r="CB7" s="1221" t="s">
        <v>749</v>
      </c>
      <c r="CC7" s="1222" t="s">
        <v>1471</v>
      </c>
      <c r="CD7" s="1223" t="s">
        <v>297</v>
      </c>
      <c r="CE7" s="1222" t="s">
        <v>59</v>
      </c>
      <c r="CF7" s="1217" t="s">
        <v>749</v>
      </c>
      <c r="CG7" s="925" t="s">
        <v>1472</v>
      </c>
      <c r="CH7" s="1162" t="s">
        <v>297</v>
      </c>
      <c r="CI7" s="925" t="s">
        <v>59</v>
      </c>
      <c r="CJ7" s="1221" t="s">
        <v>749</v>
      </c>
      <c r="CK7" s="1222" t="s">
        <v>1473</v>
      </c>
      <c r="CL7" s="1223" t="s">
        <v>297</v>
      </c>
      <c r="CM7" s="1222" t="s">
        <v>59</v>
      </c>
      <c r="CN7" s="1217" t="s">
        <v>749</v>
      </c>
      <c r="CO7" s="925" t="s">
        <v>1474</v>
      </c>
      <c r="CP7" s="1162" t="s">
        <v>297</v>
      </c>
      <c r="CQ7" s="925" t="s">
        <v>59</v>
      </c>
      <c r="CR7" s="462" t="s">
        <v>749</v>
      </c>
      <c r="CS7" s="170" t="s">
        <v>1475</v>
      </c>
      <c r="CT7" s="175" t="s">
        <v>297</v>
      </c>
      <c r="CU7" s="170" t="s">
        <v>59</v>
      </c>
      <c r="CV7" s="301" t="s">
        <v>749</v>
      </c>
      <c r="CW7" s="121" t="s">
        <v>1476</v>
      </c>
      <c r="CX7" s="173" t="s">
        <v>297</v>
      </c>
      <c r="CY7" s="121" t="s">
        <v>59</v>
      </c>
      <c r="CZ7" s="121"/>
      <c r="DB7" s="588" t="s">
        <v>1367</v>
      </c>
      <c r="DC7" s="121" t="s">
        <v>1477</v>
      </c>
      <c r="DF7" s="628"/>
    </row>
    <row r="8" spans="1:139" x14ac:dyDescent="0.3">
      <c r="B8" s="584"/>
      <c r="C8" s="7"/>
      <c r="E8" s="875">
        <f>CZ47</f>
        <v>36619470948.988693</v>
      </c>
      <c r="F8" s="1081"/>
      <c r="G8" s="1079" t="s">
        <v>287</v>
      </c>
      <c r="H8" s="586" t="s">
        <v>1371</v>
      </c>
      <c r="I8" s="470"/>
      <c r="J8" s="471"/>
      <c r="K8" s="470"/>
      <c r="L8" s="587" t="s">
        <v>947</v>
      </c>
      <c r="M8" s="303"/>
      <c r="N8" s="179"/>
      <c r="O8" s="303"/>
      <c r="P8" s="586" t="s">
        <v>1371</v>
      </c>
      <c r="Q8" s="470"/>
      <c r="R8" s="471"/>
      <c r="S8" s="470"/>
      <c r="T8" s="587" t="s">
        <v>1371</v>
      </c>
      <c r="U8" s="303"/>
      <c r="V8" s="179"/>
      <c r="W8" s="303"/>
      <c r="X8" s="586" t="s">
        <v>1371</v>
      </c>
      <c r="Y8" s="470"/>
      <c r="Z8" s="471"/>
      <c r="AA8" s="470"/>
      <c r="AB8" s="587" t="s">
        <v>1371</v>
      </c>
      <c r="AC8" s="303"/>
      <c r="AD8" s="179"/>
      <c r="AE8" s="303"/>
      <c r="AF8" s="1224" t="s">
        <v>1371</v>
      </c>
      <c r="AG8" s="1225"/>
      <c r="AH8" s="1226"/>
      <c r="AI8" s="1225"/>
      <c r="AJ8" s="1218" t="s">
        <v>1371</v>
      </c>
      <c r="AK8" s="1219"/>
      <c r="AL8" s="1220"/>
      <c r="AM8" s="1219"/>
      <c r="AN8" s="1224" t="s">
        <v>1371</v>
      </c>
      <c r="AO8" s="1225"/>
      <c r="AP8" s="1226"/>
      <c r="AQ8" s="1225"/>
      <c r="AR8" s="1218" t="s">
        <v>1371</v>
      </c>
      <c r="AS8" s="1219"/>
      <c r="AT8" s="1220"/>
      <c r="AU8" s="1219"/>
      <c r="AV8" s="1224" t="s">
        <v>1371</v>
      </c>
      <c r="AW8" s="1225"/>
      <c r="AX8" s="1226"/>
      <c r="AY8" s="1225"/>
      <c r="AZ8" s="1218" t="s">
        <v>1371</v>
      </c>
      <c r="BA8" s="1219"/>
      <c r="BB8" s="1220"/>
      <c r="BC8" s="1219"/>
      <c r="BD8" s="1224" t="s">
        <v>1371</v>
      </c>
      <c r="BE8" s="1225"/>
      <c r="BF8" s="1226"/>
      <c r="BG8" s="1225"/>
      <c r="BH8" s="1218" t="s">
        <v>1371</v>
      </c>
      <c r="BI8" s="1219"/>
      <c r="BJ8" s="1220"/>
      <c r="BK8" s="1219"/>
      <c r="BL8" s="1224" t="s">
        <v>1371</v>
      </c>
      <c r="BM8" s="1225"/>
      <c r="BN8" s="1226"/>
      <c r="BO8" s="1225"/>
      <c r="BP8" s="1218" t="s">
        <v>1371</v>
      </c>
      <c r="BQ8" s="1219"/>
      <c r="BR8" s="1220"/>
      <c r="BS8" s="1219"/>
      <c r="BT8" s="1224" t="s">
        <v>1371</v>
      </c>
      <c r="BU8" s="1225"/>
      <c r="BV8" s="1226"/>
      <c r="BW8" s="1225"/>
      <c r="BX8" s="1218" t="s">
        <v>1371</v>
      </c>
      <c r="BY8" s="1219"/>
      <c r="BZ8" s="1220"/>
      <c r="CA8" s="1219"/>
      <c r="CB8" s="1224" t="s">
        <v>1371</v>
      </c>
      <c r="CC8" s="1225"/>
      <c r="CD8" s="1226"/>
      <c r="CE8" s="1225"/>
      <c r="CF8" s="1218" t="s">
        <v>1371</v>
      </c>
      <c r="CG8" s="1219"/>
      <c r="CH8" s="1220"/>
      <c r="CI8" s="1219"/>
      <c r="CJ8" s="1224" t="s">
        <v>1371</v>
      </c>
      <c r="CK8" s="1225"/>
      <c r="CL8" s="1226"/>
      <c r="CM8" s="1225"/>
      <c r="CN8" s="1218" t="s">
        <v>1371</v>
      </c>
      <c r="CO8" s="1219"/>
      <c r="CP8" s="1220"/>
      <c r="CQ8" s="1219"/>
      <c r="CR8" s="586" t="s">
        <v>1371</v>
      </c>
      <c r="CS8" s="470"/>
      <c r="CT8" s="471"/>
      <c r="CU8" s="470"/>
      <c r="CV8" s="587" t="s">
        <v>1371</v>
      </c>
      <c r="CW8" s="303"/>
      <c r="CX8" s="179"/>
      <c r="CY8" s="303"/>
      <c r="CZ8" s="126"/>
      <c r="DB8" s="589" t="s">
        <v>1371</v>
      </c>
      <c r="DC8" s="303"/>
      <c r="DF8" s="628"/>
    </row>
    <row r="9" spans="1:139" ht="16.2" thickBot="1" x14ac:dyDescent="0.35">
      <c r="B9" s="585"/>
      <c r="C9" s="1078"/>
      <c r="D9" s="630"/>
      <c r="E9" s="631"/>
      <c r="F9" s="1084"/>
      <c r="G9" s="127" t="s">
        <v>280</v>
      </c>
      <c r="H9" s="7"/>
      <c r="I9" s="459" t="s">
        <v>282</v>
      </c>
      <c r="J9" s="646">
        <v>0.05</v>
      </c>
      <c r="K9" s="8"/>
      <c r="L9" s="7"/>
      <c r="M9" s="459" t="s">
        <v>282</v>
      </c>
      <c r="N9" s="122"/>
      <c r="O9" s="8"/>
      <c r="P9" s="7"/>
      <c r="Q9" s="459" t="s">
        <v>282</v>
      </c>
      <c r="R9" s="122"/>
      <c r="S9" s="8"/>
      <c r="T9" s="7"/>
      <c r="U9" s="459" t="s">
        <v>282</v>
      </c>
      <c r="V9" s="122"/>
      <c r="W9" s="8"/>
      <c r="X9" s="7"/>
      <c r="Y9" s="459" t="s">
        <v>282</v>
      </c>
      <c r="Z9" s="122"/>
      <c r="AA9" s="8"/>
      <c r="AB9" s="7"/>
      <c r="AC9" s="459" t="s">
        <v>282</v>
      </c>
      <c r="AD9" s="122"/>
      <c r="AE9" s="8"/>
      <c r="AF9" s="7"/>
      <c r="AG9" s="459" t="s">
        <v>282</v>
      </c>
      <c r="AH9" s="122"/>
      <c r="AI9" s="8"/>
      <c r="AJ9" s="7"/>
      <c r="AK9" s="459" t="s">
        <v>282</v>
      </c>
      <c r="AL9" s="122"/>
      <c r="AM9" s="8"/>
      <c r="AN9" s="7"/>
      <c r="AO9" s="459" t="s">
        <v>282</v>
      </c>
      <c r="AP9" s="122"/>
      <c r="AQ9" s="8"/>
      <c r="AR9" s="7"/>
      <c r="AS9" s="459" t="s">
        <v>282</v>
      </c>
      <c r="AT9" s="122"/>
      <c r="AU9" s="8"/>
      <c r="AV9" s="7"/>
      <c r="AW9" s="459" t="s">
        <v>282</v>
      </c>
      <c r="AX9" s="122"/>
      <c r="AY9" s="8"/>
      <c r="AZ9" s="7"/>
      <c r="BA9" s="459" t="s">
        <v>282</v>
      </c>
      <c r="BB9" s="122"/>
      <c r="BC9" s="8"/>
      <c r="BD9" s="7"/>
      <c r="BE9" s="459" t="s">
        <v>282</v>
      </c>
      <c r="BF9" s="122"/>
      <c r="BG9" s="8"/>
      <c r="BH9" s="7"/>
      <c r="BI9" s="459" t="s">
        <v>282</v>
      </c>
      <c r="BJ9" s="122"/>
      <c r="BK9" s="8"/>
      <c r="BL9" s="7"/>
      <c r="BM9" s="459" t="s">
        <v>282</v>
      </c>
      <c r="BN9" s="122"/>
      <c r="BO9" s="8"/>
      <c r="BP9" s="7"/>
      <c r="BQ9" s="459" t="s">
        <v>282</v>
      </c>
      <c r="BR9" s="122"/>
      <c r="BS9" s="8"/>
      <c r="BT9" s="7"/>
      <c r="BU9" s="459" t="s">
        <v>282</v>
      </c>
      <c r="BV9" s="122"/>
      <c r="BW9" s="8"/>
      <c r="BX9" s="7"/>
      <c r="BY9" s="459" t="s">
        <v>282</v>
      </c>
      <c r="BZ9" s="122"/>
      <c r="CA9" s="8"/>
      <c r="CB9" s="7"/>
      <c r="CC9" s="459" t="s">
        <v>282</v>
      </c>
      <c r="CD9" s="122"/>
      <c r="CE9" s="8"/>
      <c r="CF9" s="7"/>
      <c r="CG9" s="459" t="s">
        <v>282</v>
      </c>
      <c r="CH9" s="122"/>
      <c r="CI9" s="8"/>
      <c r="CJ9" s="7"/>
      <c r="CK9" s="459" t="s">
        <v>282</v>
      </c>
      <c r="CL9" s="122"/>
      <c r="CM9" s="8"/>
      <c r="CN9" s="7"/>
      <c r="CO9" s="459" t="s">
        <v>282</v>
      </c>
      <c r="CP9" s="122"/>
      <c r="CQ9" s="8"/>
      <c r="CR9" s="7"/>
      <c r="CS9" s="459" t="s">
        <v>282</v>
      </c>
      <c r="CT9" s="122"/>
      <c r="CU9" s="8"/>
      <c r="CV9" s="122"/>
      <c r="CW9" s="459" t="s">
        <v>282</v>
      </c>
      <c r="CX9" s="122"/>
      <c r="CY9" s="8"/>
      <c r="CZ9" s="126"/>
      <c r="DB9" s="122"/>
      <c r="DC9" s="459" t="s">
        <v>282</v>
      </c>
      <c r="DF9" s="628"/>
    </row>
    <row r="10" spans="1:139" ht="16.2" thickBot="1" x14ac:dyDescent="0.35">
      <c r="B10" s="585"/>
      <c r="C10" s="1211"/>
      <c r="D10" s="630" t="s">
        <v>953</v>
      </c>
      <c r="E10" s="994">
        <f>DA53</f>
        <v>2048</v>
      </c>
      <c r="F10" s="1085">
        <v>0.25</v>
      </c>
      <c r="G10" s="130">
        <f>E14*F10</f>
        <v>508797328.29557794</v>
      </c>
      <c r="H10" s="460">
        <v>1</v>
      </c>
      <c r="I10" s="130">
        <f>G10*H10</f>
        <v>508797328.29557794</v>
      </c>
      <c r="J10" s="460">
        <v>1</v>
      </c>
      <c r="K10" s="458">
        <f>I10*J10</f>
        <v>508797328.29557794</v>
      </c>
      <c r="L10" s="129">
        <f>H10</f>
        <v>1</v>
      </c>
      <c r="M10" s="458">
        <f>K10*L10</f>
        <v>508797328.29557794</v>
      </c>
      <c r="N10" s="129">
        <f>J10</f>
        <v>1</v>
      </c>
      <c r="O10" s="458">
        <f>M10*N10</f>
        <v>508797328.29557794</v>
      </c>
      <c r="P10" s="129">
        <f>L10</f>
        <v>1</v>
      </c>
      <c r="Q10" s="458">
        <f>O10*P10</f>
        <v>508797328.29557794</v>
      </c>
      <c r="R10" s="129">
        <f>N10</f>
        <v>1</v>
      </c>
      <c r="S10" s="458">
        <f>Q10*R10</f>
        <v>508797328.29557794</v>
      </c>
      <c r="T10" s="129">
        <f>P10</f>
        <v>1</v>
      </c>
      <c r="U10" s="458">
        <f>S10*T10</f>
        <v>508797328.29557794</v>
      </c>
      <c r="V10" s="129">
        <f>R10</f>
        <v>1</v>
      </c>
      <c r="W10" s="458">
        <f>U10*V10</f>
        <v>508797328.29557794</v>
      </c>
      <c r="X10" s="129">
        <f>T10</f>
        <v>1</v>
      </c>
      <c r="Y10" s="458">
        <f>W10*X10</f>
        <v>508797328.29557794</v>
      </c>
      <c r="Z10" s="129">
        <f>V10</f>
        <v>1</v>
      </c>
      <c r="AA10" s="458">
        <f>Y10*Z10</f>
        <v>508797328.29557794</v>
      </c>
      <c r="AB10" s="129">
        <f>X10</f>
        <v>1</v>
      </c>
      <c r="AC10" s="458">
        <f>AA10*AB10</f>
        <v>508797328.29557794</v>
      </c>
      <c r="AD10" s="129">
        <f>Z10</f>
        <v>1</v>
      </c>
      <c r="AE10" s="458">
        <f>AC10*AD10</f>
        <v>508797328.29557794</v>
      </c>
      <c r="AF10" s="129">
        <f>AB10</f>
        <v>1</v>
      </c>
      <c r="AG10" s="458">
        <f>AE10*AF10</f>
        <v>508797328.29557794</v>
      </c>
      <c r="AH10" s="129">
        <f>AD10</f>
        <v>1</v>
      </c>
      <c r="AI10" s="458">
        <f>AG10*AH10</f>
        <v>508797328.29557794</v>
      </c>
      <c r="AJ10" s="129">
        <f>AF10</f>
        <v>1</v>
      </c>
      <c r="AK10" s="458">
        <f>AI10*AJ10</f>
        <v>508797328.29557794</v>
      </c>
      <c r="AL10" s="129">
        <f>AH10</f>
        <v>1</v>
      </c>
      <c r="AM10" s="458">
        <f>AK10*AL10</f>
        <v>508797328.29557794</v>
      </c>
      <c r="AN10" s="129">
        <f>AJ10</f>
        <v>1</v>
      </c>
      <c r="AO10" s="458">
        <f>AM10*AN10</f>
        <v>508797328.29557794</v>
      </c>
      <c r="AP10" s="129">
        <f>AL10</f>
        <v>1</v>
      </c>
      <c r="AQ10" s="458">
        <f>AO10*AP10</f>
        <v>508797328.29557794</v>
      </c>
      <c r="AR10" s="129">
        <f>AN10</f>
        <v>1</v>
      </c>
      <c r="AS10" s="458">
        <f>AQ10*AR10</f>
        <v>508797328.29557794</v>
      </c>
      <c r="AT10" s="129">
        <f>AP10</f>
        <v>1</v>
      </c>
      <c r="AU10" s="458">
        <f>AS10*AT10</f>
        <v>508797328.29557794</v>
      </c>
      <c r="AV10" s="129">
        <f>AR10</f>
        <v>1</v>
      </c>
      <c r="AW10" s="458">
        <f>AU10*AV10</f>
        <v>508797328.29557794</v>
      </c>
      <c r="AX10" s="129">
        <f>AT10</f>
        <v>1</v>
      </c>
      <c r="AY10" s="458">
        <f>AW10*AX10</f>
        <v>508797328.29557794</v>
      </c>
      <c r="AZ10" s="129">
        <f>AV10</f>
        <v>1</v>
      </c>
      <c r="BA10" s="458">
        <f>AY10*AZ10</f>
        <v>508797328.29557794</v>
      </c>
      <c r="BB10" s="129">
        <f>AX10</f>
        <v>1</v>
      </c>
      <c r="BC10" s="458">
        <f>BA10*BB10</f>
        <v>508797328.29557794</v>
      </c>
      <c r="BD10" s="129">
        <f>AR10</f>
        <v>1</v>
      </c>
      <c r="BE10" s="458">
        <f>BC10*BD10</f>
        <v>508797328.29557794</v>
      </c>
      <c r="BF10" s="129">
        <f>AT10</f>
        <v>1</v>
      </c>
      <c r="BG10" s="458">
        <f>BE10*BF10</f>
        <v>508797328.29557794</v>
      </c>
      <c r="BH10" s="129">
        <f>BD10</f>
        <v>1</v>
      </c>
      <c r="BI10" s="458">
        <f>BG10*BH10</f>
        <v>508797328.29557794</v>
      </c>
      <c r="BJ10" s="129">
        <f>BF10</f>
        <v>1</v>
      </c>
      <c r="BK10" s="458">
        <f>BI10*BJ10</f>
        <v>508797328.29557794</v>
      </c>
      <c r="BL10" s="129">
        <f>BH10</f>
        <v>1</v>
      </c>
      <c r="BM10" s="458">
        <f>BK10*BL10</f>
        <v>508797328.29557794</v>
      </c>
      <c r="BN10" s="129">
        <f>BJ10</f>
        <v>1</v>
      </c>
      <c r="BO10" s="458">
        <f>BM10*BN10</f>
        <v>508797328.29557794</v>
      </c>
      <c r="BP10" s="129">
        <f>BL10</f>
        <v>1</v>
      </c>
      <c r="BQ10" s="458">
        <f>BO10*BP10</f>
        <v>508797328.29557794</v>
      </c>
      <c r="BR10" s="129">
        <f>BN10</f>
        <v>1</v>
      </c>
      <c r="BS10" s="458">
        <f>BQ10*BR10</f>
        <v>508797328.29557794</v>
      </c>
      <c r="BT10" s="129">
        <f>BP10</f>
        <v>1</v>
      </c>
      <c r="BU10" s="458">
        <f>BS10*BT10</f>
        <v>508797328.29557794</v>
      </c>
      <c r="BV10" s="129">
        <f>BR10</f>
        <v>1</v>
      </c>
      <c r="BW10" s="458">
        <f>BU10*BV10</f>
        <v>508797328.29557794</v>
      </c>
      <c r="BX10" s="129">
        <f>BT10</f>
        <v>1</v>
      </c>
      <c r="BY10" s="458">
        <f>BW10*BX10</f>
        <v>508797328.29557794</v>
      </c>
      <c r="BZ10" s="129">
        <f>BV10</f>
        <v>1</v>
      </c>
      <c r="CA10" s="458">
        <f>BY10*BZ10</f>
        <v>508797328.29557794</v>
      </c>
      <c r="CB10" s="129">
        <f>BX10</f>
        <v>1</v>
      </c>
      <c r="CC10" s="458">
        <f>CA10*CB10</f>
        <v>508797328.29557794</v>
      </c>
      <c r="CD10" s="129">
        <f>BZ10</f>
        <v>1</v>
      </c>
      <c r="CE10" s="458">
        <f>CC10*CD10</f>
        <v>508797328.29557794</v>
      </c>
      <c r="CF10" s="129">
        <f>CB10</f>
        <v>1</v>
      </c>
      <c r="CG10" s="458">
        <f>CE10*CF10</f>
        <v>508797328.29557794</v>
      </c>
      <c r="CH10" s="129">
        <f>CD10</f>
        <v>1</v>
      </c>
      <c r="CI10" s="458">
        <f>CG10*CH10</f>
        <v>508797328.29557794</v>
      </c>
      <c r="CJ10" s="129">
        <f>BX10</f>
        <v>1</v>
      </c>
      <c r="CK10" s="458">
        <f>CI10*CJ10</f>
        <v>508797328.29557794</v>
      </c>
      <c r="CL10" s="129">
        <f>BZ10</f>
        <v>1</v>
      </c>
      <c r="CM10" s="458">
        <f>CK10*CL10</f>
        <v>508797328.29557794</v>
      </c>
      <c r="CN10" s="129">
        <f>CJ10</f>
        <v>1</v>
      </c>
      <c r="CO10" s="458">
        <f>CM10*CN10</f>
        <v>508797328.29557794</v>
      </c>
      <c r="CP10" s="129">
        <f>CL10</f>
        <v>1</v>
      </c>
      <c r="CQ10" s="458">
        <f>CO10*CP10</f>
        <v>508797328.29557794</v>
      </c>
      <c r="CR10" s="129">
        <f>AB10</f>
        <v>1</v>
      </c>
      <c r="CS10" s="458">
        <f>CQ10*CR10</f>
        <v>508797328.29557794</v>
      </c>
      <c r="CT10" s="129">
        <f>AD10</f>
        <v>1</v>
      </c>
      <c r="CU10" s="458">
        <f>CS10*CT10</f>
        <v>508797328.29557794</v>
      </c>
      <c r="CV10" s="129">
        <f>CR10</f>
        <v>1</v>
      </c>
      <c r="CW10" s="458">
        <f>CU10*CV10</f>
        <v>508797328.29557794</v>
      </c>
      <c r="CX10" s="129">
        <f>CT10</f>
        <v>1</v>
      </c>
      <c r="CY10" s="458">
        <f>CW10*CX10</f>
        <v>508797328.29557794</v>
      </c>
      <c r="CZ10" s="719">
        <f>G10+I10+M10+Q10+U10+Y10+AC10+AG10+AK10+AO10+AS10+AW10+BA10+BE10+BI10+BM10+BQ10+BU10+BY10+CC10+CG10+CK10+CO10+CS10+CW10</f>
        <v>12719933207.389448</v>
      </c>
      <c r="DB10" s="590">
        <f>CV10</f>
        <v>1</v>
      </c>
      <c r="DC10" s="458">
        <f>CY10*DB10</f>
        <v>508797328.29557794</v>
      </c>
      <c r="DD10" s="623"/>
      <c r="DE10" s="624"/>
      <c r="DF10" s="628"/>
    </row>
    <row r="11" spans="1:139" ht="16.2" thickBot="1" x14ac:dyDescent="0.35">
      <c r="B11" s="585"/>
      <c r="C11" s="1078"/>
      <c r="D11" s="630" t="s">
        <v>1291</v>
      </c>
      <c r="E11" s="631">
        <f>E8/2</f>
        <v>18309735474.494347</v>
      </c>
      <c r="F11" s="1086"/>
      <c r="G11" s="134" t="s">
        <v>290</v>
      </c>
      <c r="H11" s="7"/>
      <c r="I11" s="457" t="s">
        <v>283</v>
      </c>
      <c r="J11" s="122"/>
      <c r="K11" s="8"/>
      <c r="L11" s="7"/>
      <c r="M11" s="457" t="s">
        <v>283</v>
      </c>
      <c r="N11" s="122"/>
      <c r="O11" s="8"/>
      <c r="P11" s="7"/>
      <c r="Q11" s="457" t="s">
        <v>283</v>
      </c>
      <c r="R11" s="122"/>
      <c r="S11" s="8"/>
      <c r="T11" s="7"/>
      <c r="U11" s="457" t="s">
        <v>283</v>
      </c>
      <c r="V11" s="122"/>
      <c r="W11" s="8"/>
      <c r="X11" s="7"/>
      <c r="Y11" s="457" t="s">
        <v>283</v>
      </c>
      <c r="Z11" s="122"/>
      <c r="AA11" s="8"/>
      <c r="AB11" s="7"/>
      <c r="AC11" s="457" t="s">
        <v>283</v>
      </c>
      <c r="AD11" s="122"/>
      <c r="AE11" s="8"/>
      <c r="AF11" s="7"/>
      <c r="AG11" s="457" t="s">
        <v>283</v>
      </c>
      <c r="AH11" s="122"/>
      <c r="AI11" s="8"/>
      <c r="AJ11" s="7"/>
      <c r="AK11" s="457" t="s">
        <v>283</v>
      </c>
      <c r="AL11" s="122"/>
      <c r="AM11" s="8"/>
      <c r="AN11" s="7"/>
      <c r="AO11" s="457" t="s">
        <v>283</v>
      </c>
      <c r="AP11" s="122"/>
      <c r="AQ11" s="8"/>
      <c r="AR11" s="7"/>
      <c r="AS11" s="457" t="s">
        <v>283</v>
      </c>
      <c r="AT11" s="122"/>
      <c r="AU11" s="8"/>
      <c r="AV11" s="7"/>
      <c r="AW11" s="457" t="s">
        <v>283</v>
      </c>
      <c r="AX11" s="122"/>
      <c r="AY11" s="8"/>
      <c r="AZ11" s="7"/>
      <c r="BA11" s="457" t="s">
        <v>283</v>
      </c>
      <c r="BB11" s="122"/>
      <c r="BC11" s="8"/>
      <c r="BD11" s="7"/>
      <c r="BE11" s="457" t="s">
        <v>283</v>
      </c>
      <c r="BF11" s="122"/>
      <c r="BG11" s="8"/>
      <c r="BH11" s="7"/>
      <c r="BI11" s="457" t="s">
        <v>283</v>
      </c>
      <c r="BJ11" s="122"/>
      <c r="BK11" s="8"/>
      <c r="BL11" s="7"/>
      <c r="BM11" s="457" t="s">
        <v>283</v>
      </c>
      <c r="BN11" s="122"/>
      <c r="BO11" s="8"/>
      <c r="BP11" s="7"/>
      <c r="BQ11" s="457" t="s">
        <v>283</v>
      </c>
      <c r="BR11" s="122"/>
      <c r="BS11" s="8"/>
      <c r="BT11" s="7"/>
      <c r="BU11" s="457" t="s">
        <v>283</v>
      </c>
      <c r="BV11" s="122"/>
      <c r="BW11" s="8"/>
      <c r="BX11" s="7"/>
      <c r="BY11" s="457" t="s">
        <v>283</v>
      </c>
      <c r="BZ11" s="122"/>
      <c r="CA11" s="8"/>
      <c r="CB11" s="7"/>
      <c r="CC11" s="457" t="s">
        <v>283</v>
      </c>
      <c r="CD11" s="122"/>
      <c r="CE11" s="8"/>
      <c r="CF11" s="7"/>
      <c r="CG11" s="457" t="s">
        <v>283</v>
      </c>
      <c r="CH11" s="122"/>
      <c r="CI11" s="8"/>
      <c r="CJ11" s="7"/>
      <c r="CK11" s="457" t="s">
        <v>283</v>
      </c>
      <c r="CL11" s="122"/>
      <c r="CM11" s="8"/>
      <c r="CN11" s="7"/>
      <c r="CO11" s="457" t="s">
        <v>283</v>
      </c>
      <c r="CP11" s="122"/>
      <c r="CQ11" s="8"/>
      <c r="CR11" s="7"/>
      <c r="CS11" s="457" t="s">
        <v>283</v>
      </c>
      <c r="CT11" s="122"/>
      <c r="CU11" s="8"/>
      <c r="CV11" s="122"/>
      <c r="CW11" s="457" t="s">
        <v>283</v>
      </c>
      <c r="CX11" s="122"/>
      <c r="CY11" s="8"/>
      <c r="CZ11" s="126"/>
      <c r="DB11" s="122"/>
      <c r="DC11" s="457" t="s">
        <v>283</v>
      </c>
      <c r="DD11" s="623"/>
      <c r="DE11" s="623"/>
      <c r="DF11" s="628"/>
    </row>
    <row r="12" spans="1:139" ht="16.2" thickBot="1" x14ac:dyDescent="0.35">
      <c r="B12" s="584"/>
      <c r="E12" s="997">
        <f>E9*E10</f>
        <v>0</v>
      </c>
      <c r="F12" s="1086">
        <v>0.25</v>
      </c>
      <c r="G12" s="135">
        <f>E14*F12</f>
        <v>508797328.29557794</v>
      </c>
      <c r="H12" s="461">
        <v>1</v>
      </c>
      <c r="I12" s="135">
        <f>G12*H12</f>
        <v>508797328.29557794</v>
      </c>
      <c r="J12" s="461">
        <v>1</v>
      </c>
      <c r="K12" s="440">
        <f>I12*J12</f>
        <v>508797328.29557794</v>
      </c>
      <c r="L12" s="133">
        <f>H12</f>
        <v>1</v>
      </c>
      <c r="M12" s="440">
        <f>K12*L12</f>
        <v>508797328.29557794</v>
      </c>
      <c r="N12" s="133">
        <f>J12</f>
        <v>1</v>
      </c>
      <c r="O12" s="440">
        <f>M12*N12</f>
        <v>508797328.29557794</v>
      </c>
      <c r="P12" s="133">
        <f>L12</f>
        <v>1</v>
      </c>
      <c r="Q12" s="440">
        <f>O12*P12</f>
        <v>508797328.29557794</v>
      </c>
      <c r="R12" s="133">
        <f>N12</f>
        <v>1</v>
      </c>
      <c r="S12" s="440">
        <f>Q12*R12</f>
        <v>508797328.29557794</v>
      </c>
      <c r="T12" s="133">
        <f>P12</f>
        <v>1</v>
      </c>
      <c r="U12" s="440">
        <f>S12*T12</f>
        <v>508797328.29557794</v>
      </c>
      <c r="V12" s="133">
        <f>R12</f>
        <v>1</v>
      </c>
      <c r="W12" s="440">
        <f>U12*V12</f>
        <v>508797328.29557794</v>
      </c>
      <c r="X12" s="133">
        <f>T12</f>
        <v>1</v>
      </c>
      <c r="Y12" s="440">
        <f>W12*X12</f>
        <v>508797328.29557794</v>
      </c>
      <c r="Z12" s="133">
        <f>V12</f>
        <v>1</v>
      </c>
      <c r="AA12" s="440">
        <f>Y12*Z12</f>
        <v>508797328.29557794</v>
      </c>
      <c r="AB12" s="133">
        <f>X12</f>
        <v>1</v>
      </c>
      <c r="AC12" s="440">
        <f>AA12*AB12</f>
        <v>508797328.29557794</v>
      </c>
      <c r="AD12" s="133">
        <f>Z12</f>
        <v>1</v>
      </c>
      <c r="AE12" s="440">
        <f>AC12*AD12</f>
        <v>508797328.29557794</v>
      </c>
      <c r="AF12" s="133">
        <f>AB12</f>
        <v>1</v>
      </c>
      <c r="AG12" s="440">
        <f>AE12*AF12</f>
        <v>508797328.29557794</v>
      </c>
      <c r="AH12" s="133">
        <f>AD12</f>
        <v>1</v>
      </c>
      <c r="AI12" s="440">
        <f>AG12*AH12</f>
        <v>508797328.29557794</v>
      </c>
      <c r="AJ12" s="133">
        <f>AF12</f>
        <v>1</v>
      </c>
      <c r="AK12" s="440">
        <f>AI12*AJ12</f>
        <v>508797328.29557794</v>
      </c>
      <c r="AL12" s="133">
        <f>AH12</f>
        <v>1</v>
      </c>
      <c r="AM12" s="440">
        <f>AK12*AL12</f>
        <v>508797328.29557794</v>
      </c>
      <c r="AN12" s="133">
        <f>AJ12</f>
        <v>1</v>
      </c>
      <c r="AO12" s="440">
        <f>AM12*AN12</f>
        <v>508797328.29557794</v>
      </c>
      <c r="AP12" s="133">
        <f>AL12</f>
        <v>1</v>
      </c>
      <c r="AQ12" s="440">
        <f>AO12*AP12</f>
        <v>508797328.29557794</v>
      </c>
      <c r="AR12" s="133">
        <f>AN12</f>
        <v>1</v>
      </c>
      <c r="AS12" s="440">
        <f>AQ12*AR12</f>
        <v>508797328.29557794</v>
      </c>
      <c r="AT12" s="133">
        <f>AP12</f>
        <v>1</v>
      </c>
      <c r="AU12" s="440">
        <f>AS12*AT12</f>
        <v>508797328.29557794</v>
      </c>
      <c r="AV12" s="133">
        <f>AR12</f>
        <v>1</v>
      </c>
      <c r="AW12" s="440">
        <f>AU12*AV12</f>
        <v>508797328.29557794</v>
      </c>
      <c r="AX12" s="133">
        <f>AT12</f>
        <v>1</v>
      </c>
      <c r="AY12" s="440">
        <f>AW12*AX12</f>
        <v>508797328.29557794</v>
      </c>
      <c r="AZ12" s="133">
        <f>AV12</f>
        <v>1</v>
      </c>
      <c r="BA12" s="440">
        <f>AY12*AZ12</f>
        <v>508797328.29557794</v>
      </c>
      <c r="BB12" s="133">
        <f>AX12</f>
        <v>1</v>
      </c>
      <c r="BC12" s="440">
        <f>BA12*BB12</f>
        <v>508797328.29557794</v>
      </c>
      <c r="BD12" s="133">
        <f>AR12</f>
        <v>1</v>
      </c>
      <c r="BE12" s="440">
        <f>BC12*BD12</f>
        <v>508797328.29557794</v>
      </c>
      <c r="BF12" s="133">
        <f>AT12</f>
        <v>1</v>
      </c>
      <c r="BG12" s="440">
        <f>BE12*BF12</f>
        <v>508797328.29557794</v>
      </c>
      <c r="BH12" s="133">
        <f>BD12</f>
        <v>1</v>
      </c>
      <c r="BI12" s="440">
        <f>BG12*BH12</f>
        <v>508797328.29557794</v>
      </c>
      <c r="BJ12" s="133">
        <f>BF12</f>
        <v>1</v>
      </c>
      <c r="BK12" s="440">
        <f>BI12*BJ12</f>
        <v>508797328.29557794</v>
      </c>
      <c r="BL12" s="133">
        <f>BH12</f>
        <v>1</v>
      </c>
      <c r="BM12" s="440">
        <f>BK12*BL12</f>
        <v>508797328.29557794</v>
      </c>
      <c r="BN12" s="133">
        <f>BJ12</f>
        <v>1</v>
      </c>
      <c r="BO12" s="440">
        <f>BM12*BN12</f>
        <v>508797328.29557794</v>
      </c>
      <c r="BP12" s="133">
        <f>BL12</f>
        <v>1</v>
      </c>
      <c r="BQ12" s="440">
        <f>BO12*BP12</f>
        <v>508797328.29557794</v>
      </c>
      <c r="BR12" s="133">
        <f>BN12</f>
        <v>1</v>
      </c>
      <c r="BS12" s="440">
        <f>BQ12*BR12</f>
        <v>508797328.29557794</v>
      </c>
      <c r="BT12" s="133">
        <f>BP12</f>
        <v>1</v>
      </c>
      <c r="BU12" s="440">
        <f>BS12*BT12</f>
        <v>508797328.29557794</v>
      </c>
      <c r="BV12" s="133">
        <f>BR12</f>
        <v>1</v>
      </c>
      <c r="BW12" s="440">
        <f>BU12*BV12</f>
        <v>508797328.29557794</v>
      </c>
      <c r="BX12" s="133">
        <f>BT12</f>
        <v>1</v>
      </c>
      <c r="BY12" s="440">
        <f>BW12*BX12</f>
        <v>508797328.29557794</v>
      </c>
      <c r="BZ12" s="133">
        <f>BV12</f>
        <v>1</v>
      </c>
      <c r="CA12" s="440">
        <f>BY12*BZ12</f>
        <v>508797328.29557794</v>
      </c>
      <c r="CB12" s="133">
        <f>BX12</f>
        <v>1</v>
      </c>
      <c r="CC12" s="440">
        <f>CA12*CB12</f>
        <v>508797328.29557794</v>
      </c>
      <c r="CD12" s="133">
        <f>BZ12</f>
        <v>1</v>
      </c>
      <c r="CE12" s="440">
        <f>CC12*CD12</f>
        <v>508797328.29557794</v>
      </c>
      <c r="CF12" s="133">
        <f>CB12</f>
        <v>1</v>
      </c>
      <c r="CG12" s="440">
        <f>CE12*CF12</f>
        <v>508797328.29557794</v>
      </c>
      <c r="CH12" s="133">
        <f>CD12</f>
        <v>1</v>
      </c>
      <c r="CI12" s="440">
        <f>CG12*CH12</f>
        <v>508797328.29557794</v>
      </c>
      <c r="CJ12" s="133">
        <f>BX12</f>
        <v>1</v>
      </c>
      <c r="CK12" s="440">
        <f>CI12*CJ12</f>
        <v>508797328.29557794</v>
      </c>
      <c r="CL12" s="133">
        <f>BZ12</f>
        <v>1</v>
      </c>
      <c r="CM12" s="440">
        <f>CK12*CL12</f>
        <v>508797328.29557794</v>
      </c>
      <c r="CN12" s="133">
        <f>CJ12</f>
        <v>1</v>
      </c>
      <c r="CO12" s="440">
        <f>CM12*CN12</f>
        <v>508797328.29557794</v>
      </c>
      <c r="CP12" s="133">
        <f>CL12</f>
        <v>1</v>
      </c>
      <c r="CQ12" s="440">
        <f>CO12*CP12</f>
        <v>508797328.29557794</v>
      </c>
      <c r="CR12" s="133">
        <f>AB12</f>
        <v>1</v>
      </c>
      <c r="CS12" s="440">
        <f>CQ12*CR12</f>
        <v>508797328.29557794</v>
      </c>
      <c r="CT12" s="133">
        <f>AD12</f>
        <v>1</v>
      </c>
      <c r="CU12" s="440">
        <f>CS12*CT12</f>
        <v>508797328.29557794</v>
      </c>
      <c r="CV12" s="133">
        <f>CR12</f>
        <v>1</v>
      </c>
      <c r="CW12" s="440">
        <f>CU12*CV12</f>
        <v>508797328.29557794</v>
      </c>
      <c r="CX12" s="133">
        <f>CT12</f>
        <v>1</v>
      </c>
      <c r="CY12" s="440">
        <f>CW12*CX12</f>
        <v>508797328.29557794</v>
      </c>
      <c r="CZ12" s="719">
        <f>G12+I12+M12+Q12+U12+Y12+AC12+AG12+AK12+AO12+AS12+AW12+BA12+BE12+BI12+BM12+BQ12+BU12+BY12+CC12+CG12+CK12+CO12+CS12+CW12</f>
        <v>12719933207.389448</v>
      </c>
      <c r="DB12" s="591">
        <f>CV12</f>
        <v>1</v>
      </c>
      <c r="DC12" s="440">
        <f>CY12*DB12</f>
        <v>508797328.29557794</v>
      </c>
      <c r="DD12" s="623"/>
      <c r="DE12" s="624"/>
      <c r="DF12" s="628"/>
    </row>
    <row r="13" spans="1:139" ht="16.2" thickBot="1" x14ac:dyDescent="0.35">
      <c r="B13" s="613"/>
      <c r="C13" s="7"/>
      <c r="E13" s="997">
        <f>E12/2</f>
        <v>0</v>
      </c>
      <c r="F13" s="1087"/>
      <c r="G13" s="136" t="s">
        <v>279</v>
      </c>
      <c r="H13" s="7"/>
      <c r="I13" s="451" t="s">
        <v>284</v>
      </c>
      <c r="J13" s="122"/>
      <c r="K13" s="8"/>
      <c r="L13" s="7"/>
      <c r="M13" s="451" t="s">
        <v>284</v>
      </c>
      <c r="N13" s="122"/>
      <c r="O13" s="8"/>
      <c r="P13" s="7"/>
      <c r="Q13" s="451" t="s">
        <v>284</v>
      </c>
      <c r="R13" s="122"/>
      <c r="S13" s="8"/>
      <c r="T13" s="7"/>
      <c r="U13" s="451" t="s">
        <v>284</v>
      </c>
      <c r="V13" s="122"/>
      <c r="W13" s="8"/>
      <c r="X13" s="7"/>
      <c r="Y13" s="451" t="s">
        <v>284</v>
      </c>
      <c r="Z13" s="122"/>
      <c r="AA13" s="8"/>
      <c r="AB13" s="7"/>
      <c r="AC13" s="451" t="s">
        <v>284</v>
      </c>
      <c r="AD13" s="122"/>
      <c r="AE13" s="8"/>
      <c r="AF13" s="7"/>
      <c r="AG13" s="451" t="s">
        <v>284</v>
      </c>
      <c r="AH13" s="122"/>
      <c r="AI13" s="8"/>
      <c r="AJ13" s="7"/>
      <c r="AK13" s="451" t="s">
        <v>284</v>
      </c>
      <c r="AL13" s="122"/>
      <c r="AM13" s="8"/>
      <c r="AN13" s="7"/>
      <c r="AO13" s="451" t="s">
        <v>284</v>
      </c>
      <c r="AP13" s="122"/>
      <c r="AQ13" s="8"/>
      <c r="AR13" s="7"/>
      <c r="AS13" s="451" t="s">
        <v>284</v>
      </c>
      <c r="AT13" s="122"/>
      <c r="AU13" s="8"/>
      <c r="AV13" s="7"/>
      <c r="AW13" s="451" t="s">
        <v>284</v>
      </c>
      <c r="AX13" s="122"/>
      <c r="AY13" s="8"/>
      <c r="AZ13" s="7"/>
      <c r="BA13" s="451" t="s">
        <v>284</v>
      </c>
      <c r="BB13" s="122"/>
      <c r="BC13" s="8"/>
      <c r="BD13" s="7"/>
      <c r="BE13" s="451" t="s">
        <v>284</v>
      </c>
      <c r="BF13" s="122"/>
      <c r="BG13" s="8"/>
      <c r="BH13" s="7"/>
      <c r="BI13" s="451" t="s">
        <v>284</v>
      </c>
      <c r="BJ13" s="122"/>
      <c r="BK13" s="8"/>
      <c r="BL13" s="7"/>
      <c r="BM13" s="451" t="s">
        <v>284</v>
      </c>
      <c r="BN13" s="122"/>
      <c r="BO13" s="8"/>
      <c r="BP13" s="7"/>
      <c r="BQ13" s="451" t="s">
        <v>284</v>
      </c>
      <c r="BR13" s="122"/>
      <c r="BS13" s="8"/>
      <c r="BT13" s="7"/>
      <c r="BU13" s="451" t="s">
        <v>284</v>
      </c>
      <c r="BV13" s="122"/>
      <c r="BW13" s="8"/>
      <c r="BX13" s="7"/>
      <c r="BY13" s="451" t="s">
        <v>284</v>
      </c>
      <c r="BZ13" s="122"/>
      <c r="CA13" s="8"/>
      <c r="CB13" s="7"/>
      <c r="CC13" s="451" t="s">
        <v>284</v>
      </c>
      <c r="CD13" s="122"/>
      <c r="CE13" s="8"/>
      <c r="CF13" s="7"/>
      <c r="CG13" s="451" t="s">
        <v>284</v>
      </c>
      <c r="CH13" s="122"/>
      <c r="CI13" s="8"/>
      <c r="CJ13" s="7"/>
      <c r="CK13" s="451" t="s">
        <v>284</v>
      </c>
      <c r="CL13" s="122"/>
      <c r="CM13" s="8"/>
      <c r="CN13" s="7"/>
      <c r="CO13" s="451" t="s">
        <v>284</v>
      </c>
      <c r="CP13" s="122"/>
      <c r="CQ13" s="8"/>
      <c r="CR13" s="7"/>
      <c r="CS13" s="451" t="s">
        <v>284</v>
      </c>
      <c r="CT13" s="122"/>
      <c r="CU13" s="8"/>
      <c r="CV13" s="122"/>
      <c r="CW13" s="451" t="s">
        <v>284</v>
      </c>
      <c r="CX13" s="122"/>
      <c r="CY13" s="8"/>
      <c r="CZ13" s="126"/>
      <c r="DB13" s="122"/>
      <c r="DC13" s="451" t="s">
        <v>284</v>
      </c>
      <c r="DD13" s="623"/>
      <c r="DE13" s="623"/>
      <c r="DF13" s="628"/>
    </row>
    <row r="14" spans="1:139" ht="16.2" thickBot="1" x14ac:dyDescent="0.35">
      <c r="A14" s="162"/>
      <c r="B14" s="162"/>
      <c r="C14" s="137" t="s">
        <v>291</v>
      </c>
      <c r="D14" s="1212">
        <v>0.111153397929607</v>
      </c>
      <c r="E14" s="139">
        <f>E11*D14</f>
        <v>2035189313.1823118</v>
      </c>
      <c r="F14" s="1088">
        <v>0.5</v>
      </c>
      <c r="G14" s="139">
        <f>E14*F14</f>
        <v>1017594656.5911559</v>
      </c>
      <c r="H14" s="463">
        <v>1</v>
      </c>
      <c r="I14" s="139">
        <f>G14*H14</f>
        <v>1017594656.5911559</v>
      </c>
      <c r="J14" s="463">
        <v>1</v>
      </c>
      <c r="K14" s="441">
        <f>I14*J14</f>
        <v>1017594656.5911559</v>
      </c>
      <c r="L14" s="140">
        <f>H14</f>
        <v>1</v>
      </c>
      <c r="M14" s="441">
        <f>K14*L14</f>
        <v>1017594656.5911559</v>
      </c>
      <c r="N14" s="140">
        <f>J14</f>
        <v>1</v>
      </c>
      <c r="O14" s="441">
        <f>M14*N14</f>
        <v>1017594656.5911559</v>
      </c>
      <c r="P14" s="140">
        <f>L14</f>
        <v>1</v>
      </c>
      <c r="Q14" s="441">
        <f>O14*P14</f>
        <v>1017594656.5911559</v>
      </c>
      <c r="R14" s="140">
        <f>N14</f>
        <v>1</v>
      </c>
      <c r="S14" s="441">
        <f>Q14*R14</f>
        <v>1017594656.5911559</v>
      </c>
      <c r="T14" s="140">
        <f>P14</f>
        <v>1</v>
      </c>
      <c r="U14" s="441">
        <f>S14*T14</f>
        <v>1017594656.5911559</v>
      </c>
      <c r="V14" s="140">
        <f>R14</f>
        <v>1</v>
      </c>
      <c r="W14" s="441">
        <f>U14*V14</f>
        <v>1017594656.5911559</v>
      </c>
      <c r="X14" s="140">
        <f>T14</f>
        <v>1</v>
      </c>
      <c r="Y14" s="441">
        <f>W14*X14</f>
        <v>1017594656.5911559</v>
      </c>
      <c r="Z14" s="140">
        <f>V14</f>
        <v>1</v>
      </c>
      <c r="AA14" s="441">
        <f>Y14*Z14</f>
        <v>1017594656.5911559</v>
      </c>
      <c r="AB14" s="140">
        <f>X14</f>
        <v>1</v>
      </c>
      <c r="AC14" s="441">
        <f>AA14*AB14</f>
        <v>1017594656.5911559</v>
      </c>
      <c r="AD14" s="140">
        <f>Z14</f>
        <v>1</v>
      </c>
      <c r="AE14" s="441">
        <f>AC14*AD14</f>
        <v>1017594656.5911559</v>
      </c>
      <c r="AF14" s="140">
        <f>AB14</f>
        <v>1</v>
      </c>
      <c r="AG14" s="441">
        <f>AE14*AF14</f>
        <v>1017594656.5911559</v>
      </c>
      <c r="AH14" s="140">
        <f>AD14</f>
        <v>1</v>
      </c>
      <c r="AI14" s="441">
        <f>AG14*AH14</f>
        <v>1017594656.5911559</v>
      </c>
      <c r="AJ14" s="140">
        <f>AF14</f>
        <v>1</v>
      </c>
      <c r="AK14" s="441">
        <f>AI14*AJ14</f>
        <v>1017594656.5911559</v>
      </c>
      <c r="AL14" s="140">
        <f>AH14</f>
        <v>1</v>
      </c>
      <c r="AM14" s="441">
        <f>AK14*AL14</f>
        <v>1017594656.5911559</v>
      </c>
      <c r="AN14" s="140">
        <f>AJ14</f>
        <v>1</v>
      </c>
      <c r="AO14" s="441">
        <f>AM14*AN14</f>
        <v>1017594656.5911559</v>
      </c>
      <c r="AP14" s="140">
        <f>AL14</f>
        <v>1</v>
      </c>
      <c r="AQ14" s="441">
        <f>AO14*AP14</f>
        <v>1017594656.5911559</v>
      </c>
      <c r="AR14" s="140">
        <f>AN14</f>
        <v>1</v>
      </c>
      <c r="AS14" s="441">
        <f>AQ14*AR14</f>
        <v>1017594656.5911559</v>
      </c>
      <c r="AT14" s="140">
        <f>AP14</f>
        <v>1</v>
      </c>
      <c r="AU14" s="441">
        <f>AS14*AT14</f>
        <v>1017594656.5911559</v>
      </c>
      <c r="AV14" s="140">
        <f>AR14</f>
        <v>1</v>
      </c>
      <c r="AW14" s="441">
        <f>AU14*AV14</f>
        <v>1017594656.5911559</v>
      </c>
      <c r="AX14" s="140">
        <f>AT14</f>
        <v>1</v>
      </c>
      <c r="AY14" s="441">
        <f>AW14*AX14</f>
        <v>1017594656.5911559</v>
      </c>
      <c r="AZ14" s="140">
        <f>AV14</f>
        <v>1</v>
      </c>
      <c r="BA14" s="441">
        <f>AY14*AZ14</f>
        <v>1017594656.5911559</v>
      </c>
      <c r="BB14" s="140">
        <f>AX14</f>
        <v>1</v>
      </c>
      <c r="BC14" s="441">
        <f>BA14*BB14</f>
        <v>1017594656.5911559</v>
      </c>
      <c r="BD14" s="140">
        <f>AR14</f>
        <v>1</v>
      </c>
      <c r="BE14" s="441">
        <f>BC14*BD14</f>
        <v>1017594656.5911559</v>
      </c>
      <c r="BF14" s="140">
        <f>AT14</f>
        <v>1</v>
      </c>
      <c r="BG14" s="441">
        <f>BE14*BF14</f>
        <v>1017594656.5911559</v>
      </c>
      <c r="BH14" s="140">
        <f>BD14</f>
        <v>1</v>
      </c>
      <c r="BI14" s="441">
        <f>BG14*BH14</f>
        <v>1017594656.5911559</v>
      </c>
      <c r="BJ14" s="140">
        <f>BF14</f>
        <v>1</v>
      </c>
      <c r="BK14" s="441">
        <f>BI14*BJ14</f>
        <v>1017594656.5911559</v>
      </c>
      <c r="BL14" s="140">
        <f>BH14</f>
        <v>1</v>
      </c>
      <c r="BM14" s="441">
        <f>BK14*BL14</f>
        <v>1017594656.5911559</v>
      </c>
      <c r="BN14" s="140">
        <f>BJ14</f>
        <v>1</v>
      </c>
      <c r="BO14" s="441">
        <f>BM14*BN14</f>
        <v>1017594656.5911559</v>
      </c>
      <c r="BP14" s="140">
        <f>BL14</f>
        <v>1</v>
      </c>
      <c r="BQ14" s="441">
        <f>BO14*BP14</f>
        <v>1017594656.5911559</v>
      </c>
      <c r="BR14" s="140">
        <f>BN14</f>
        <v>1</v>
      </c>
      <c r="BS14" s="441">
        <f>BQ14*BR14</f>
        <v>1017594656.5911559</v>
      </c>
      <c r="BT14" s="140">
        <f>BP14</f>
        <v>1</v>
      </c>
      <c r="BU14" s="441">
        <f>BS14*BT14</f>
        <v>1017594656.5911559</v>
      </c>
      <c r="BV14" s="140">
        <f>BR14</f>
        <v>1</v>
      </c>
      <c r="BW14" s="441">
        <f>BU14*BV14</f>
        <v>1017594656.5911559</v>
      </c>
      <c r="BX14" s="140">
        <f>BT14</f>
        <v>1</v>
      </c>
      <c r="BY14" s="441">
        <f>BW14*BX14</f>
        <v>1017594656.5911559</v>
      </c>
      <c r="BZ14" s="140">
        <f>BV14</f>
        <v>1</v>
      </c>
      <c r="CA14" s="441">
        <f>BY14*BZ14</f>
        <v>1017594656.5911559</v>
      </c>
      <c r="CB14" s="140">
        <f>BX14</f>
        <v>1</v>
      </c>
      <c r="CC14" s="441">
        <f>CA14*CB14</f>
        <v>1017594656.5911559</v>
      </c>
      <c r="CD14" s="140">
        <f>BZ14</f>
        <v>1</v>
      </c>
      <c r="CE14" s="441">
        <f>CC14*CD14</f>
        <v>1017594656.5911559</v>
      </c>
      <c r="CF14" s="140">
        <f>CB14</f>
        <v>1</v>
      </c>
      <c r="CG14" s="441">
        <f>CE14*CF14</f>
        <v>1017594656.5911559</v>
      </c>
      <c r="CH14" s="140">
        <f>CD14</f>
        <v>1</v>
      </c>
      <c r="CI14" s="441">
        <f>CG14*CH14</f>
        <v>1017594656.5911559</v>
      </c>
      <c r="CJ14" s="140">
        <f>BX14</f>
        <v>1</v>
      </c>
      <c r="CK14" s="441">
        <f>CI14*CJ14</f>
        <v>1017594656.5911559</v>
      </c>
      <c r="CL14" s="140">
        <f>BZ14</f>
        <v>1</v>
      </c>
      <c r="CM14" s="441">
        <f>CK14*CL14</f>
        <v>1017594656.5911559</v>
      </c>
      <c r="CN14" s="140">
        <f>CJ14</f>
        <v>1</v>
      </c>
      <c r="CO14" s="441">
        <f>CM14*CN14</f>
        <v>1017594656.5911559</v>
      </c>
      <c r="CP14" s="140">
        <f>CL14</f>
        <v>1</v>
      </c>
      <c r="CQ14" s="441">
        <f>CO14*CP14</f>
        <v>1017594656.5911559</v>
      </c>
      <c r="CR14" s="140">
        <f>AB14</f>
        <v>1</v>
      </c>
      <c r="CS14" s="441">
        <f>CQ14*CR14</f>
        <v>1017594656.5911559</v>
      </c>
      <c r="CT14" s="140">
        <f>AD14</f>
        <v>1</v>
      </c>
      <c r="CU14" s="441">
        <f>CS14*CT14</f>
        <v>1017594656.5911559</v>
      </c>
      <c r="CV14" s="140">
        <f>CR14</f>
        <v>1</v>
      </c>
      <c r="CW14" s="441">
        <f>CU14*CV14</f>
        <v>1017594656.5911559</v>
      </c>
      <c r="CX14" s="140">
        <f>CT14</f>
        <v>1</v>
      </c>
      <c r="CY14" s="441">
        <f>CW14*CX14</f>
        <v>1017594656.5911559</v>
      </c>
      <c r="CZ14" s="719">
        <f>G14+I14+M14+Q14+U14+Y14+AC14+AG14+AK14+AO14+AS14+AW14+BA14+BE14+BI14+BM14+BQ14+BU14+BY14+CC14+CG14+CK14+CO14+CS14+CW14</f>
        <v>25439866414.778896</v>
      </c>
      <c r="DB14" s="592">
        <f>CV14</f>
        <v>1</v>
      </c>
      <c r="DC14" s="441">
        <f>CY14*DB14</f>
        <v>1017594656.5911559</v>
      </c>
      <c r="DD14" s="623"/>
      <c r="DE14" s="624"/>
      <c r="DF14" s="628"/>
    </row>
    <row r="15" spans="1:139" x14ac:dyDescent="0.3">
      <c r="A15" s="18"/>
      <c r="B15" s="18"/>
      <c r="C15" s="141"/>
      <c r="D15" s="107"/>
      <c r="E15" s="371"/>
      <c r="F15" s="1089"/>
      <c r="G15" s="371"/>
      <c r="H15" s="7"/>
      <c r="I15" s="8"/>
      <c r="J15" s="122"/>
      <c r="K15" s="8"/>
      <c r="L15" s="7"/>
      <c r="M15" s="8"/>
      <c r="N15" s="122"/>
      <c r="O15" s="8"/>
      <c r="P15" s="7"/>
      <c r="Q15" s="8"/>
      <c r="R15" s="122"/>
      <c r="S15" s="8"/>
      <c r="T15" s="7"/>
      <c r="U15" s="8"/>
      <c r="V15" s="122"/>
      <c r="W15" s="8"/>
      <c r="X15" s="7"/>
      <c r="Y15" s="8"/>
      <c r="Z15" s="122"/>
      <c r="AA15" s="8"/>
      <c r="AB15" s="7"/>
      <c r="AC15" s="8"/>
      <c r="AD15" s="122"/>
      <c r="AE15" s="8"/>
      <c r="AF15" s="7"/>
      <c r="AG15" s="8"/>
      <c r="AH15" s="122"/>
      <c r="AI15" s="8"/>
      <c r="AJ15" s="7"/>
      <c r="AK15" s="8"/>
      <c r="AL15" s="122"/>
      <c r="AM15" s="8"/>
      <c r="AN15" s="7"/>
      <c r="AO15" s="8"/>
      <c r="AP15" s="122"/>
      <c r="AQ15" s="8"/>
      <c r="AR15" s="7"/>
      <c r="AS15" s="8"/>
      <c r="AT15" s="122"/>
      <c r="AU15" s="8"/>
      <c r="AV15" s="7"/>
      <c r="AW15" s="8"/>
      <c r="AX15" s="122"/>
      <c r="AY15" s="8"/>
      <c r="AZ15" s="7"/>
      <c r="BA15" s="8"/>
      <c r="BB15" s="122"/>
      <c r="BC15" s="8"/>
      <c r="BD15" s="7"/>
      <c r="BE15" s="8"/>
      <c r="BF15" s="122"/>
      <c r="BG15" s="8"/>
      <c r="BH15" s="7"/>
      <c r="BI15" s="8"/>
      <c r="BJ15" s="122"/>
      <c r="BK15" s="8"/>
      <c r="BL15" s="7"/>
      <c r="BM15" s="8"/>
      <c r="BN15" s="122"/>
      <c r="BO15" s="8"/>
      <c r="BP15" s="7"/>
      <c r="BQ15" s="8"/>
      <c r="BR15" s="122"/>
      <c r="BS15" s="8"/>
      <c r="BT15" s="7"/>
      <c r="BU15" s="8"/>
      <c r="BV15" s="122"/>
      <c r="BW15" s="8"/>
      <c r="BX15" s="7"/>
      <c r="BY15" s="8"/>
      <c r="BZ15" s="122"/>
      <c r="CA15" s="8"/>
      <c r="CB15" s="7"/>
      <c r="CC15" s="8"/>
      <c r="CD15" s="122"/>
      <c r="CE15" s="8"/>
      <c r="CF15" s="7"/>
      <c r="CG15" s="8"/>
      <c r="CH15" s="122"/>
      <c r="CI15" s="8"/>
      <c r="CJ15" s="7"/>
      <c r="CK15" s="8"/>
      <c r="CL15" s="122"/>
      <c r="CM15" s="8"/>
      <c r="CN15" s="7"/>
      <c r="CO15" s="8"/>
      <c r="CP15" s="122"/>
      <c r="CQ15" s="8"/>
      <c r="CR15" s="7"/>
      <c r="CS15" s="8"/>
      <c r="CT15" s="122"/>
      <c r="CU15" s="8"/>
      <c r="CV15" s="122"/>
      <c r="CW15" s="8"/>
      <c r="CX15" s="122"/>
      <c r="CY15" s="8"/>
      <c r="CZ15" s="126"/>
      <c r="DB15" s="122"/>
      <c r="DC15" s="8"/>
      <c r="DD15" s="623"/>
      <c r="DE15" s="623"/>
      <c r="DF15" s="628"/>
    </row>
    <row r="16" spans="1:139" s="88" customFormat="1" ht="16.2" thickBot="1" x14ac:dyDescent="0.35">
      <c r="A16" s="163"/>
      <c r="B16" s="163"/>
      <c r="C16" s="141"/>
      <c r="D16" s="107"/>
      <c r="E16" s="371"/>
      <c r="F16" s="1089"/>
      <c r="G16" s="454" t="s">
        <v>744</v>
      </c>
      <c r="H16" s="251"/>
      <c r="I16" s="454" t="s">
        <v>744</v>
      </c>
      <c r="J16" s="455"/>
      <c r="K16" s="456"/>
      <c r="L16" s="251"/>
      <c r="M16" s="454" t="s">
        <v>744</v>
      </c>
      <c r="N16" s="455"/>
      <c r="O16" s="456"/>
      <c r="P16" s="251"/>
      <c r="Q16" s="454" t="s">
        <v>744</v>
      </c>
      <c r="R16" s="455"/>
      <c r="S16" s="456"/>
      <c r="T16" s="251"/>
      <c r="U16" s="454" t="s">
        <v>744</v>
      </c>
      <c r="V16" s="455"/>
      <c r="W16" s="456"/>
      <c r="X16" s="251"/>
      <c r="Y16" s="454" t="s">
        <v>744</v>
      </c>
      <c r="Z16" s="455"/>
      <c r="AA16" s="456"/>
      <c r="AB16" s="251"/>
      <c r="AC16" s="454" t="s">
        <v>744</v>
      </c>
      <c r="AD16" s="455"/>
      <c r="AE16" s="456"/>
      <c r="AF16" s="251"/>
      <c r="AG16" s="454" t="s">
        <v>744</v>
      </c>
      <c r="AH16" s="455"/>
      <c r="AI16" s="456"/>
      <c r="AJ16" s="251"/>
      <c r="AK16" s="454" t="s">
        <v>744</v>
      </c>
      <c r="AL16" s="455"/>
      <c r="AM16" s="456"/>
      <c r="AN16" s="251"/>
      <c r="AO16" s="454" t="s">
        <v>744</v>
      </c>
      <c r="AP16" s="455"/>
      <c r="AQ16" s="456"/>
      <c r="AR16" s="251"/>
      <c r="AS16" s="454" t="s">
        <v>744</v>
      </c>
      <c r="AT16" s="455"/>
      <c r="AU16" s="456"/>
      <c r="AV16" s="251"/>
      <c r="AW16" s="454" t="s">
        <v>744</v>
      </c>
      <c r="AX16" s="455"/>
      <c r="AY16" s="456"/>
      <c r="AZ16" s="251"/>
      <c r="BA16" s="454" t="s">
        <v>744</v>
      </c>
      <c r="BB16" s="455"/>
      <c r="BC16" s="456"/>
      <c r="BD16" s="251"/>
      <c r="BE16" s="454" t="s">
        <v>744</v>
      </c>
      <c r="BF16" s="455"/>
      <c r="BG16" s="456"/>
      <c r="BH16" s="251"/>
      <c r="BI16" s="454" t="s">
        <v>744</v>
      </c>
      <c r="BJ16" s="455"/>
      <c r="BK16" s="456"/>
      <c r="BL16" s="251"/>
      <c r="BM16" s="454" t="s">
        <v>744</v>
      </c>
      <c r="BN16" s="455"/>
      <c r="BO16" s="456"/>
      <c r="BP16" s="251"/>
      <c r="BQ16" s="454" t="s">
        <v>744</v>
      </c>
      <c r="BR16" s="455"/>
      <c r="BS16" s="456"/>
      <c r="BT16" s="251"/>
      <c r="BU16" s="454" t="s">
        <v>744</v>
      </c>
      <c r="BV16" s="455"/>
      <c r="BW16" s="456"/>
      <c r="BX16" s="251"/>
      <c r="BY16" s="454" t="s">
        <v>744</v>
      </c>
      <c r="BZ16" s="455"/>
      <c r="CA16" s="456"/>
      <c r="CB16" s="251"/>
      <c r="CC16" s="454" t="s">
        <v>744</v>
      </c>
      <c r="CD16" s="455"/>
      <c r="CE16" s="456"/>
      <c r="CF16" s="251"/>
      <c r="CG16" s="454" t="s">
        <v>744</v>
      </c>
      <c r="CH16" s="455"/>
      <c r="CI16" s="456"/>
      <c r="CJ16" s="251"/>
      <c r="CK16" s="454" t="s">
        <v>744</v>
      </c>
      <c r="CL16" s="455"/>
      <c r="CM16" s="456"/>
      <c r="CN16" s="251"/>
      <c r="CO16" s="454" t="s">
        <v>744</v>
      </c>
      <c r="CP16" s="455"/>
      <c r="CQ16" s="456"/>
      <c r="CR16" s="251"/>
      <c r="CS16" s="454" t="s">
        <v>744</v>
      </c>
      <c r="CT16" s="455"/>
      <c r="CU16" s="456"/>
      <c r="CV16" s="455"/>
      <c r="CW16" s="454" t="s">
        <v>744</v>
      </c>
      <c r="CX16" s="141"/>
      <c r="CY16" s="164"/>
      <c r="CZ16" s="126"/>
      <c r="DB16" s="455"/>
      <c r="DC16" s="454" t="s">
        <v>744</v>
      </c>
      <c r="DD16" s="625"/>
      <c r="DE16" s="625"/>
      <c r="DF16" s="628"/>
      <c r="DS16" s="233"/>
      <c r="DW16" s="233"/>
      <c r="EH16" s="345"/>
      <c r="EI16" s="233"/>
    </row>
    <row r="17" spans="1:141" ht="16.2" thickBot="1" x14ac:dyDescent="0.35">
      <c r="A17" s="18"/>
      <c r="B17" s="18"/>
      <c r="C17" s="397" t="s">
        <v>276</v>
      </c>
      <c r="D17" s="1213">
        <f>100%-D14-D21</f>
        <v>0.5625</v>
      </c>
      <c r="E17" s="399">
        <f>E11*D17</f>
        <v>10299226204.40307</v>
      </c>
      <c r="F17" s="1090">
        <v>1</v>
      </c>
      <c r="G17" s="399">
        <f>E17*F17</f>
        <v>10299226204.40307</v>
      </c>
      <c r="H17" s="464">
        <v>1</v>
      </c>
      <c r="I17" s="399">
        <f>G17*H17</f>
        <v>10299226204.40307</v>
      </c>
      <c r="J17" s="464">
        <v>1</v>
      </c>
      <c r="K17" s="453">
        <f>I17*J17</f>
        <v>10299226204.40307</v>
      </c>
      <c r="L17" s="400">
        <f>H17</f>
        <v>1</v>
      </c>
      <c r="M17" s="453">
        <f>K17*L17</f>
        <v>10299226204.40307</v>
      </c>
      <c r="N17" s="400">
        <f>J17</f>
        <v>1</v>
      </c>
      <c r="O17" s="453">
        <f>M17*N17</f>
        <v>10299226204.40307</v>
      </c>
      <c r="P17" s="400">
        <f>L17</f>
        <v>1</v>
      </c>
      <c r="Q17" s="453">
        <f>O17*P17</f>
        <v>10299226204.40307</v>
      </c>
      <c r="R17" s="400">
        <f>N17</f>
        <v>1</v>
      </c>
      <c r="S17" s="453">
        <f>Q17*R17</f>
        <v>10299226204.40307</v>
      </c>
      <c r="T17" s="400">
        <f>P17</f>
        <v>1</v>
      </c>
      <c r="U17" s="453">
        <f>S17*T17</f>
        <v>10299226204.40307</v>
      </c>
      <c r="V17" s="400">
        <f>R17</f>
        <v>1</v>
      </c>
      <c r="W17" s="453">
        <f>U17*V17</f>
        <v>10299226204.40307</v>
      </c>
      <c r="X17" s="400">
        <f>T17</f>
        <v>1</v>
      </c>
      <c r="Y17" s="453">
        <f>W17*X17</f>
        <v>10299226204.40307</v>
      </c>
      <c r="Z17" s="400">
        <f>V17</f>
        <v>1</v>
      </c>
      <c r="AA17" s="453">
        <f>Y17*Z17</f>
        <v>10299226204.40307</v>
      </c>
      <c r="AB17" s="400">
        <f>X17</f>
        <v>1</v>
      </c>
      <c r="AC17" s="453">
        <f>AA17*AB17</f>
        <v>10299226204.40307</v>
      </c>
      <c r="AD17" s="400">
        <f>Z17</f>
        <v>1</v>
      </c>
      <c r="AE17" s="453">
        <f>AC17*AD17</f>
        <v>10299226204.40307</v>
      </c>
      <c r="AF17" s="400">
        <f>AB17</f>
        <v>1</v>
      </c>
      <c r="AG17" s="453">
        <f>AE17*AF17</f>
        <v>10299226204.40307</v>
      </c>
      <c r="AH17" s="400">
        <f>AD17</f>
        <v>1</v>
      </c>
      <c r="AI17" s="453">
        <f>AG17*AH17</f>
        <v>10299226204.40307</v>
      </c>
      <c r="AJ17" s="400">
        <f>AF17</f>
        <v>1</v>
      </c>
      <c r="AK17" s="453">
        <f>AI17*AJ17</f>
        <v>10299226204.40307</v>
      </c>
      <c r="AL17" s="400">
        <f>AH17</f>
        <v>1</v>
      </c>
      <c r="AM17" s="453">
        <f>AK17*AL17</f>
        <v>10299226204.40307</v>
      </c>
      <c r="AN17" s="400">
        <f>AJ17</f>
        <v>1</v>
      </c>
      <c r="AO17" s="453">
        <f>AM17*AN17</f>
        <v>10299226204.40307</v>
      </c>
      <c r="AP17" s="400">
        <f>AL17</f>
        <v>1</v>
      </c>
      <c r="AQ17" s="453">
        <f>AO17*AP17</f>
        <v>10299226204.40307</v>
      </c>
      <c r="AR17" s="400">
        <f>AN17</f>
        <v>1</v>
      </c>
      <c r="AS17" s="453">
        <f>AQ17*AR17</f>
        <v>10299226204.40307</v>
      </c>
      <c r="AT17" s="400">
        <f>AP17</f>
        <v>1</v>
      </c>
      <c r="AU17" s="453">
        <f>AS17*AT17</f>
        <v>10299226204.40307</v>
      </c>
      <c r="AV17" s="400">
        <f>AR17</f>
        <v>1</v>
      </c>
      <c r="AW17" s="453">
        <f>AU17*AV17</f>
        <v>10299226204.40307</v>
      </c>
      <c r="AX17" s="400">
        <f>AT17</f>
        <v>1</v>
      </c>
      <c r="AY17" s="453">
        <f>AW17*AX17</f>
        <v>10299226204.40307</v>
      </c>
      <c r="AZ17" s="400">
        <f>AV17</f>
        <v>1</v>
      </c>
      <c r="BA17" s="453">
        <f>AY17*AZ17</f>
        <v>10299226204.40307</v>
      </c>
      <c r="BB17" s="400">
        <f>AX17</f>
        <v>1</v>
      </c>
      <c r="BC17" s="453">
        <f>BA17*BB17</f>
        <v>10299226204.40307</v>
      </c>
      <c r="BD17" s="400">
        <f>AR17</f>
        <v>1</v>
      </c>
      <c r="BE17" s="453">
        <f>BC17*BD17</f>
        <v>10299226204.40307</v>
      </c>
      <c r="BF17" s="400">
        <f>AT17</f>
        <v>1</v>
      </c>
      <c r="BG17" s="453">
        <f>BE17*BF17</f>
        <v>10299226204.40307</v>
      </c>
      <c r="BH17" s="400">
        <f>BD17</f>
        <v>1</v>
      </c>
      <c r="BI17" s="453">
        <f>BG17*BH17</f>
        <v>10299226204.40307</v>
      </c>
      <c r="BJ17" s="400">
        <f>BF17</f>
        <v>1</v>
      </c>
      <c r="BK17" s="453">
        <f>BI17*BJ17</f>
        <v>10299226204.40307</v>
      </c>
      <c r="BL17" s="400">
        <f>BH17</f>
        <v>1</v>
      </c>
      <c r="BM17" s="453">
        <f>BK17*BL17</f>
        <v>10299226204.40307</v>
      </c>
      <c r="BN17" s="400">
        <f>BJ17</f>
        <v>1</v>
      </c>
      <c r="BO17" s="453">
        <f>BM17*BN17</f>
        <v>10299226204.40307</v>
      </c>
      <c r="BP17" s="400">
        <f>BL17</f>
        <v>1</v>
      </c>
      <c r="BQ17" s="453">
        <f>BO17*BP17</f>
        <v>10299226204.40307</v>
      </c>
      <c r="BR17" s="400">
        <f>BN17</f>
        <v>1</v>
      </c>
      <c r="BS17" s="453">
        <f>BQ17*BR17</f>
        <v>10299226204.40307</v>
      </c>
      <c r="BT17" s="400">
        <f>BP17</f>
        <v>1</v>
      </c>
      <c r="BU17" s="453">
        <f>BS17*BT17</f>
        <v>10299226204.40307</v>
      </c>
      <c r="BV17" s="400">
        <f>BR17</f>
        <v>1</v>
      </c>
      <c r="BW17" s="453">
        <f>BU17*BV17</f>
        <v>10299226204.40307</v>
      </c>
      <c r="BX17" s="400">
        <f>BT17</f>
        <v>1</v>
      </c>
      <c r="BY17" s="453">
        <f>BW17*BX17</f>
        <v>10299226204.40307</v>
      </c>
      <c r="BZ17" s="400">
        <f>BV17</f>
        <v>1</v>
      </c>
      <c r="CA17" s="453">
        <f>BY17*BZ17</f>
        <v>10299226204.40307</v>
      </c>
      <c r="CB17" s="400">
        <f>BX17</f>
        <v>1</v>
      </c>
      <c r="CC17" s="453">
        <f>CA17*CB17</f>
        <v>10299226204.40307</v>
      </c>
      <c r="CD17" s="400">
        <f>BZ17</f>
        <v>1</v>
      </c>
      <c r="CE17" s="453">
        <f>CC17*CD17</f>
        <v>10299226204.40307</v>
      </c>
      <c r="CF17" s="400">
        <f>CB17</f>
        <v>1</v>
      </c>
      <c r="CG17" s="453">
        <f>CE17*CF17</f>
        <v>10299226204.40307</v>
      </c>
      <c r="CH17" s="400">
        <f>CD17</f>
        <v>1</v>
      </c>
      <c r="CI17" s="453">
        <f>CG17*CH17</f>
        <v>10299226204.40307</v>
      </c>
      <c r="CJ17" s="400">
        <f>BX17</f>
        <v>1</v>
      </c>
      <c r="CK17" s="453">
        <f>CI17*CJ17</f>
        <v>10299226204.40307</v>
      </c>
      <c r="CL17" s="400">
        <f>BZ17</f>
        <v>1</v>
      </c>
      <c r="CM17" s="453">
        <f>CK17*CL17</f>
        <v>10299226204.40307</v>
      </c>
      <c r="CN17" s="400">
        <f>CJ17</f>
        <v>1</v>
      </c>
      <c r="CO17" s="453">
        <f>CM17*CN17</f>
        <v>10299226204.40307</v>
      </c>
      <c r="CP17" s="400">
        <f>CL17</f>
        <v>1</v>
      </c>
      <c r="CQ17" s="453">
        <f>CO17*CP17</f>
        <v>10299226204.40307</v>
      </c>
      <c r="CR17" s="400">
        <f>AB17</f>
        <v>1</v>
      </c>
      <c r="CS17" s="453">
        <f>CQ17*CR17</f>
        <v>10299226204.40307</v>
      </c>
      <c r="CT17" s="400">
        <f>AD17</f>
        <v>1</v>
      </c>
      <c r="CU17" s="453">
        <f>CS17*CT17</f>
        <v>10299226204.40307</v>
      </c>
      <c r="CV17" s="400">
        <f>CR17</f>
        <v>1</v>
      </c>
      <c r="CW17" s="453">
        <f>CU17*CV17</f>
        <v>10299226204.40307</v>
      </c>
      <c r="CX17" s="400">
        <f>CT17</f>
        <v>1</v>
      </c>
      <c r="CY17" s="453">
        <f>CW17*CX17</f>
        <v>10299226204.40307</v>
      </c>
      <c r="CZ17" s="719">
        <f>G17+I17+M17+Q17+U17+Y17+AC17+AG17+AK17+AO17+AS17+AW17+BA17+BE17+BI17+BM17+BQ17+BU17+BY17+CC17+CG17+CK17+CO17+CS17+CW17</f>
        <v>257480655110.07684</v>
      </c>
      <c r="DB17" s="593">
        <f>CV17</f>
        <v>1</v>
      </c>
      <c r="DC17" s="453">
        <f>CY17*DB17</f>
        <v>10299226204.40307</v>
      </c>
      <c r="DD17" s="623"/>
      <c r="DE17" s="624"/>
      <c r="DF17" s="628"/>
      <c r="DV17" s="974" t="s">
        <v>872</v>
      </c>
      <c r="DX17" s="974" t="s">
        <v>872</v>
      </c>
      <c r="EA17" s="974" t="s">
        <v>872</v>
      </c>
    </row>
    <row r="18" spans="1:141" x14ac:dyDescent="0.3">
      <c r="A18" s="85"/>
      <c r="B18" s="85"/>
      <c r="C18" s="403"/>
      <c r="D18" s="118"/>
      <c r="E18" s="837"/>
      <c r="F18" s="1081"/>
      <c r="G18" s="7"/>
      <c r="H18" s="7"/>
      <c r="I18" s="8"/>
      <c r="J18" s="122"/>
      <c r="K18" s="611"/>
      <c r="L18" s="7"/>
      <c r="M18" s="8"/>
      <c r="N18" s="122"/>
      <c r="O18" s="8"/>
      <c r="P18" s="7"/>
      <c r="Q18" s="8"/>
      <c r="R18" s="122"/>
      <c r="S18" s="8"/>
      <c r="T18" s="7"/>
      <c r="U18" s="8"/>
      <c r="V18" s="122"/>
      <c r="W18" s="8"/>
      <c r="X18" s="7"/>
      <c r="Y18" s="8"/>
      <c r="Z18" s="122"/>
      <c r="AA18" s="8"/>
      <c r="AB18" s="7"/>
      <c r="AC18" s="8"/>
      <c r="AD18" s="122"/>
      <c r="AE18" s="8"/>
      <c r="AF18" s="7"/>
      <c r="AG18" s="8"/>
      <c r="AH18" s="122"/>
      <c r="AI18" s="8"/>
      <c r="AJ18" s="7"/>
      <c r="AK18" s="8"/>
      <c r="AL18" s="122"/>
      <c r="AM18" s="8"/>
      <c r="AN18" s="7"/>
      <c r="AO18" s="8"/>
      <c r="AP18" s="122"/>
      <c r="AQ18" s="8"/>
      <c r="AR18" s="7"/>
      <c r="AS18" s="8"/>
      <c r="AT18" s="122"/>
      <c r="AU18" s="8"/>
      <c r="AV18" s="7"/>
      <c r="AW18" s="8"/>
      <c r="AX18" s="122"/>
      <c r="AY18" s="8"/>
      <c r="AZ18" s="7"/>
      <c r="BA18" s="8"/>
      <c r="BB18" s="122"/>
      <c r="BC18" s="8"/>
      <c r="BD18" s="7"/>
      <c r="BE18" s="8"/>
      <c r="BF18" s="122"/>
      <c r="BG18" s="8"/>
      <c r="BH18" s="7"/>
      <c r="BI18" s="8"/>
      <c r="BJ18" s="122"/>
      <c r="BK18" s="8"/>
      <c r="BL18" s="7"/>
      <c r="BM18" s="8"/>
      <c r="BN18" s="122"/>
      <c r="BO18" s="8"/>
      <c r="BP18" s="7"/>
      <c r="BQ18" s="8"/>
      <c r="BR18" s="122"/>
      <c r="BS18" s="8"/>
      <c r="BT18" s="7"/>
      <c r="BU18" s="8"/>
      <c r="BV18" s="122"/>
      <c r="BW18" s="8"/>
      <c r="BX18" s="7"/>
      <c r="BY18" s="8"/>
      <c r="BZ18" s="122"/>
      <c r="CA18" s="8"/>
      <c r="CB18" s="7"/>
      <c r="CC18" s="8"/>
      <c r="CD18" s="122"/>
      <c r="CE18" s="8"/>
      <c r="CF18" s="7"/>
      <c r="CG18" s="8"/>
      <c r="CH18" s="122"/>
      <c r="CI18" s="8"/>
      <c r="CJ18" s="7"/>
      <c r="CK18" s="8"/>
      <c r="CL18" s="122"/>
      <c r="CM18" s="8"/>
      <c r="CN18" s="7"/>
      <c r="CO18" s="8"/>
      <c r="CP18" s="122"/>
      <c r="CQ18" s="8"/>
      <c r="CR18" s="7"/>
      <c r="CS18" s="8"/>
      <c r="CT18" s="122"/>
      <c r="CU18" s="8"/>
      <c r="CV18" s="122"/>
      <c r="CW18" s="8"/>
      <c r="CX18" s="122"/>
      <c r="CY18" s="8"/>
      <c r="CZ18" s="126"/>
      <c r="DB18" s="122"/>
      <c r="DC18" s="8"/>
      <c r="DD18" s="623"/>
      <c r="DE18" s="623"/>
      <c r="DF18" s="628"/>
      <c r="DV18" s="974" t="s">
        <v>5</v>
      </c>
      <c r="DX18" s="974" t="s">
        <v>7</v>
      </c>
      <c r="EA18" s="77" t="s">
        <v>968</v>
      </c>
    </row>
    <row r="19" spans="1:141" x14ac:dyDescent="0.3">
      <c r="A19" s="85"/>
      <c r="B19" s="85"/>
      <c r="C19" s="403"/>
      <c r="D19" s="118"/>
      <c r="E19" s="837"/>
      <c r="F19" s="1081"/>
      <c r="G19" s="765"/>
      <c r="H19" s="7"/>
      <c r="I19" s="611"/>
      <c r="J19" s="122"/>
      <c r="K19" s="611"/>
      <c r="L19" s="7"/>
      <c r="M19" s="8"/>
      <c r="N19" s="122"/>
      <c r="O19" s="8"/>
      <c r="P19" s="7"/>
      <c r="Q19" s="8"/>
      <c r="R19" s="122"/>
      <c r="S19" s="8"/>
      <c r="T19" s="7"/>
      <c r="U19" s="8"/>
      <c r="V19" s="122"/>
      <c r="W19" s="8"/>
      <c r="X19" s="7"/>
      <c r="Y19" s="8"/>
      <c r="Z19" s="122"/>
      <c r="AA19" s="8"/>
      <c r="AB19" s="7"/>
      <c r="AC19" s="8"/>
      <c r="AD19" s="122"/>
      <c r="AE19" s="8"/>
      <c r="AF19" s="7"/>
      <c r="AG19" s="8"/>
      <c r="AH19" s="122"/>
      <c r="AI19" s="8"/>
      <c r="AJ19" s="7"/>
      <c r="AK19" s="8"/>
      <c r="AL19" s="122"/>
      <c r="AM19" s="8"/>
      <c r="AN19" s="7"/>
      <c r="AO19" s="8"/>
      <c r="AP19" s="122"/>
      <c r="AQ19" s="8"/>
      <c r="AR19" s="7"/>
      <c r="AS19" s="8"/>
      <c r="AT19" s="122"/>
      <c r="AU19" s="8"/>
      <c r="AV19" s="7"/>
      <c r="AW19" s="8"/>
      <c r="AX19" s="122"/>
      <c r="AY19" s="8"/>
      <c r="AZ19" s="7"/>
      <c r="BA19" s="8"/>
      <c r="BB19" s="122"/>
      <c r="BC19" s="8"/>
      <c r="BD19" s="7"/>
      <c r="BE19" s="8"/>
      <c r="BF19" s="122"/>
      <c r="BG19" s="8"/>
      <c r="BH19" s="7"/>
      <c r="BI19" s="8"/>
      <c r="BJ19" s="122"/>
      <c r="BK19" s="8"/>
      <c r="BL19" s="7"/>
      <c r="BM19" s="8"/>
      <c r="BN19" s="122"/>
      <c r="BO19" s="8"/>
      <c r="BP19" s="7"/>
      <c r="BQ19" s="8"/>
      <c r="BR19" s="122"/>
      <c r="BS19" s="8"/>
      <c r="BT19" s="7"/>
      <c r="BU19" s="8"/>
      <c r="BV19" s="122"/>
      <c r="BW19" s="8"/>
      <c r="BX19" s="7"/>
      <c r="BY19" s="8"/>
      <c r="BZ19" s="122"/>
      <c r="CA19" s="8"/>
      <c r="CB19" s="7"/>
      <c r="CC19" s="8"/>
      <c r="CD19" s="122"/>
      <c r="CE19" s="8"/>
      <c r="CF19" s="7"/>
      <c r="CG19" s="8"/>
      <c r="CH19" s="122"/>
      <c r="CI19" s="8"/>
      <c r="CJ19" s="7"/>
      <c r="CK19" s="8"/>
      <c r="CL19" s="122"/>
      <c r="CM19" s="8"/>
      <c r="CN19" s="7"/>
      <c r="CO19" s="8"/>
      <c r="CP19" s="122"/>
      <c r="CQ19" s="8"/>
      <c r="CR19" s="7"/>
      <c r="CS19" s="8"/>
      <c r="CT19" s="122"/>
      <c r="CU19" s="8"/>
      <c r="CV19" s="122"/>
      <c r="CW19" s="8"/>
      <c r="CX19" s="122"/>
      <c r="CY19" s="8"/>
      <c r="CZ19" s="126"/>
      <c r="DB19" s="122"/>
      <c r="DC19" s="8"/>
      <c r="DD19" s="623"/>
      <c r="DE19" s="623"/>
      <c r="DF19" s="628"/>
      <c r="DI19" s="473"/>
      <c r="DJ19" s="473"/>
      <c r="DK19" s="473"/>
      <c r="DL19" s="473"/>
      <c r="DM19" s="473"/>
      <c r="DN19" s="473"/>
      <c r="DO19" s="473"/>
      <c r="DP19" s="473"/>
      <c r="DQ19" s="473"/>
      <c r="DR19" s="473"/>
      <c r="DS19" s="970"/>
      <c r="DT19" s="485"/>
      <c r="DU19" s="485"/>
      <c r="DV19" s="485" t="s">
        <v>961</v>
      </c>
      <c r="DW19" s="485" t="s">
        <v>967</v>
      </c>
      <c r="DX19" s="485" t="s">
        <v>59</v>
      </c>
      <c r="DY19" s="485" t="s">
        <v>1343</v>
      </c>
      <c r="DZ19" s="485" t="s">
        <v>1344</v>
      </c>
      <c r="EA19" s="485"/>
      <c r="EB19" s="473"/>
      <c r="EC19" s="485" t="s">
        <v>966</v>
      </c>
      <c r="ED19" s="485" t="s">
        <v>974</v>
      </c>
      <c r="EE19" s="485" t="s">
        <v>965</v>
      </c>
      <c r="EF19" s="485" t="s">
        <v>965</v>
      </c>
      <c r="EG19" s="485" t="s">
        <v>1345</v>
      </c>
      <c r="EH19" s="305" t="s">
        <v>1286</v>
      </c>
      <c r="EI19" s="304"/>
    </row>
    <row r="20" spans="1:141" ht="16.2" thickBot="1" x14ac:dyDescent="0.35">
      <c r="C20" s="122"/>
      <c r="D20" s="95"/>
      <c r="E20" s="765"/>
      <c r="F20" s="1091"/>
      <c r="G20" s="148" t="s">
        <v>147</v>
      </c>
      <c r="H20" s="7"/>
      <c r="I20" s="450" t="s">
        <v>285</v>
      </c>
      <c r="J20" s="122"/>
      <c r="K20" s="8"/>
      <c r="L20" s="7"/>
      <c r="M20" s="450" t="s">
        <v>285</v>
      </c>
      <c r="N20" s="122"/>
      <c r="O20" s="8"/>
      <c r="P20" s="7"/>
      <c r="Q20" s="450" t="s">
        <v>285</v>
      </c>
      <c r="R20" s="122"/>
      <c r="S20" s="8"/>
      <c r="T20" s="7"/>
      <c r="U20" s="450" t="s">
        <v>285</v>
      </c>
      <c r="V20" s="122"/>
      <c r="W20" s="8"/>
      <c r="X20" s="7"/>
      <c r="Y20" s="450" t="s">
        <v>285</v>
      </c>
      <c r="Z20" s="122"/>
      <c r="AA20" s="8"/>
      <c r="AB20" s="7"/>
      <c r="AC20" s="450" t="s">
        <v>285</v>
      </c>
      <c r="AD20" s="122"/>
      <c r="AE20" s="8"/>
      <c r="AF20" s="7"/>
      <c r="AG20" s="450" t="s">
        <v>285</v>
      </c>
      <c r="AH20" s="122"/>
      <c r="AI20" s="8"/>
      <c r="AJ20" s="7"/>
      <c r="AK20" s="450" t="s">
        <v>285</v>
      </c>
      <c r="AL20" s="122"/>
      <c r="AM20" s="8"/>
      <c r="AN20" s="7"/>
      <c r="AO20" s="450" t="s">
        <v>285</v>
      </c>
      <c r="AP20" s="122"/>
      <c r="AQ20" s="8"/>
      <c r="AR20" s="7"/>
      <c r="AS20" s="450" t="s">
        <v>285</v>
      </c>
      <c r="AT20" s="122"/>
      <c r="AU20" s="8"/>
      <c r="AV20" s="7"/>
      <c r="AW20" s="450" t="s">
        <v>285</v>
      </c>
      <c r="AX20" s="122"/>
      <c r="AY20" s="8"/>
      <c r="AZ20" s="7"/>
      <c r="BA20" s="450" t="s">
        <v>285</v>
      </c>
      <c r="BB20" s="122"/>
      <c r="BC20" s="8"/>
      <c r="BD20" s="7"/>
      <c r="BE20" s="450" t="s">
        <v>285</v>
      </c>
      <c r="BF20" s="122"/>
      <c r="BG20" s="8"/>
      <c r="BH20" s="7"/>
      <c r="BI20" s="450" t="s">
        <v>285</v>
      </c>
      <c r="BJ20" s="122"/>
      <c r="BK20" s="8"/>
      <c r="BL20" s="7"/>
      <c r="BM20" s="450" t="s">
        <v>285</v>
      </c>
      <c r="BN20" s="122"/>
      <c r="BO20" s="8"/>
      <c r="BP20" s="7"/>
      <c r="BQ20" s="450" t="s">
        <v>285</v>
      </c>
      <c r="BR20" s="122"/>
      <c r="BS20" s="8"/>
      <c r="BT20" s="7"/>
      <c r="BU20" s="450" t="s">
        <v>285</v>
      </c>
      <c r="BV20" s="122"/>
      <c r="BW20" s="8"/>
      <c r="BX20" s="7"/>
      <c r="BY20" s="450" t="s">
        <v>285</v>
      </c>
      <c r="BZ20" s="122"/>
      <c r="CA20" s="8"/>
      <c r="CB20" s="7"/>
      <c r="CC20" s="450" t="s">
        <v>285</v>
      </c>
      <c r="CD20" s="122"/>
      <c r="CE20" s="8"/>
      <c r="CF20" s="7"/>
      <c r="CG20" s="450" t="s">
        <v>285</v>
      </c>
      <c r="CH20" s="122"/>
      <c r="CI20" s="8"/>
      <c r="CJ20" s="7"/>
      <c r="CK20" s="450" t="s">
        <v>285</v>
      </c>
      <c r="CL20" s="122"/>
      <c r="CM20" s="8"/>
      <c r="CN20" s="7"/>
      <c r="CO20" s="450" t="s">
        <v>285</v>
      </c>
      <c r="CP20" s="122"/>
      <c r="CQ20" s="8"/>
      <c r="CR20" s="7"/>
      <c r="CS20" s="450" t="s">
        <v>285</v>
      </c>
      <c r="CT20" s="122"/>
      <c r="CU20" s="8"/>
      <c r="CV20" s="122"/>
      <c r="CW20" s="450" t="s">
        <v>285</v>
      </c>
      <c r="CX20" s="122"/>
      <c r="CY20" s="8"/>
      <c r="CZ20" s="126"/>
      <c r="DB20" s="122"/>
      <c r="DC20" s="450" t="s">
        <v>285</v>
      </c>
      <c r="DD20" s="623"/>
      <c r="DE20" s="623"/>
      <c r="DF20" s="628"/>
      <c r="DI20" s="473"/>
      <c r="DJ20" s="473"/>
      <c r="DK20" s="473"/>
      <c r="DL20" s="473"/>
      <c r="DM20" s="473"/>
      <c r="DN20" s="473"/>
      <c r="DO20" s="473"/>
      <c r="DP20" s="473"/>
      <c r="DQ20" s="473"/>
      <c r="DR20" s="473"/>
      <c r="DS20" s="970"/>
      <c r="DT20" s="485"/>
      <c r="DU20" s="485"/>
      <c r="DV20" s="971">
        <f>'POP Dimensions'!C15</f>
        <v>10737418.24</v>
      </c>
      <c r="DW20" s="954">
        <v>64</v>
      </c>
      <c r="DX20" s="972">
        <f>DW20*DV20</f>
        <v>687194767.36000001</v>
      </c>
      <c r="DY20" s="954">
        <v>16</v>
      </c>
      <c r="DZ20" s="954"/>
      <c r="EA20" s="971">
        <f>DX20*DY20</f>
        <v>10995116277.76</v>
      </c>
      <c r="EB20" s="473"/>
      <c r="EC20" s="485" t="s">
        <v>785</v>
      </c>
      <c r="ED20" s="485"/>
      <c r="EE20" s="485" t="s">
        <v>962</v>
      </c>
      <c r="EF20" s="485" t="s">
        <v>1341</v>
      </c>
      <c r="EG20" s="485" t="s">
        <v>1342</v>
      </c>
      <c r="EH20" s="305"/>
      <c r="EI20" s="304"/>
    </row>
    <row r="21" spans="1:141" ht="16.2" thickBot="1" x14ac:dyDescent="0.35">
      <c r="C21" s="149" t="s">
        <v>737</v>
      </c>
      <c r="D21" s="1214">
        <v>0.32634660207039301</v>
      </c>
      <c r="E21" s="151">
        <f>E11*D21</f>
        <v>5975319956.9089651</v>
      </c>
      <c r="F21" s="1092">
        <v>0.3</v>
      </c>
      <c r="G21" s="151">
        <f>E21*F21</f>
        <v>1792595987.0726895</v>
      </c>
      <c r="H21" s="465">
        <v>1</v>
      </c>
      <c r="I21" s="151">
        <f>G21*H21</f>
        <v>1792595987.0726895</v>
      </c>
      <c r="J21" s="465">
        <v>1</v>
      </c>
      <c r="K21" s="444">
        <f>I21*J21</f>
        <v>1792595987.0726895</v>
      </c>
      <c r="L21" s="152">
        <f>H21</f>
        <v>1</v>
      </c>
      <c r="M21" s="444">
        <f>K21*L21</f>
        <v>1792595987.0726895</v>
      </c>
      <c r="N21" s="152">
        <f>J21</f>
        <v>1</v>
      </c>
      <c r="O21" s="444">
        <f>M21*N21</f>
        <v>1792595987.0726895</v>
      </c>
      <c r="P21" s="152">
        <f>L21</f>
        <v>1</v>
      </c>
      <c r="Q21" s="444">
        <f>O21*P21</f>
        <v>1792595987.0726895</v>
      </c>
      <c r="R21" s="152">
        <f>N21</f>
        <v>1</v>
      </c>
      <c r="S21" s="444">
        <f>Q21*R21</f>
        <v>1792595987.0726895</v>
      </c>
      <c r="T21" s="152">
        <f>P21</f>
        <v>1</v>
      </c>
      <c r="U21" s="444">
        <f>S21*T21</f>
        <v>1792595987.0726895</v>
      </c>
      <c r="V21" s="152">
        <f>R21</f>
        <v>1</v>
      </c>
      <c r="W21" s="444">
        <f>U21*V21</f>
        <v>1792595987.0726895</v>
      </c>
      <c r="X21" s="152">
        <f>T21</f>
        <v>1</v>
      </c>
      <c r="Y21" s="444">
        <f>W21*X21</f>
        <v>1792595987.0726895</v>
      </c>
      <c r="Z21" s="152">
        <f>V21</f>
        <v>1</v>
      </c>
      <c r="AA21" s="444">
        <f>Y21*Z21</f>
        <v>1792595987.0726895</v>
      </c>
      <c r="AB21" s="152">
        <f>X21</f>
        <v>1</v>
      </c>
      <c r="AC21" s="444">
        <f>AA21*AB21</f>
        <v>1792595987.0726895</v>
      </c>
      <c r="AD21" s="152">
        <f>Z21</f>
        <v>1</v>
      </c>
      <c r="AE21" s="444">
        <f>AC21*AD21</f>
        <v>1792595987.0726895</v>
      </c>
      <c r="AF21" s="152">
        <f>AB21</f>
        <v>1</v>
      </c>
      <c r="AG21" s="444">
        <f>AE21*AF21</f>
        <v>1792595987.0726895</v>
      </c>
      <c r="AH21" s="152">
        <f>AD21</f>
        <v>1</v>
      </c>
      <c r="AI21" s="444">
        <f>AG21*AH21</f>
        <v>1792595987.0726895</v>
      </c>
      <c r="AJ21" s="152">
        <f>AF21</f>
        <v>1</v>
      </c>
      <c r="AK21" s="444">
        <f>AI21*AJ21</f>
        <v>1792595987.0726895</v>
      </c>
      <c r="AL21" s="152">
        <f>AH21</f>
        <v>1</v>
      </c>
      <c r="AM21" s="444">
        <f>AK21*AL21</f>
        <v>1792595987.0726895</v>
      </c>
      <c r="AN21" s="152">
        <f>AJ21</f>
        <v>1</v>
      </c>
      <c r="AO21" s="444">
        <f>AM21*AN21</f>
        <v>1792595987.0726895</v>
      </c>
      <c r="AP21" s="152">
        <f>AL21</f>
        <v>1</v>
      </c>
      <c r="AQ21" s="444">
        <f>AO21*AP21</f>
        <v>1792595987.0726895</v>
      </c>
      <c r="AR21" s="152">
        <f>AN21</f>
        <v>1</v>
      </c>
      <c r="AS21" s="444">
        <f>AQ21*AR21</f>
        <v>1792595987.0726895</v>
      </c>
      <c r="AT21" s="152">
        <f>AP21</f>
        <v>1</v>
      </c>
      <c r="AU21" s="444">
        <f>AS21*AT21</f>
        <v>1792595987.0726895</v>
      </c>
      <c r="AV21" s="152">
        <f>AR21</f>
        <v>1</v>
      </c>
      <c r="AW21" s="444">
        <f>AU21*AV21</f>
        <v>1792595987.0726895</v>
      </c>
      <c r="AX21" s="152">
        <f>AT21</f>
        <v>1</v>
      </c>
      <c r="AY21" s="444">
        <f>AW21*AX21</f>
        <v>1792595987.0726895</v>
      </c>
      <c r="AZ21" s="152">
        <f>AV21</f>
        <v>1</v>
      </c>
      <c r="BA21" s="444">
        <f>AY21*AZ21</f>
        <v>1792595987.0726895</v>
      </c>
      <c r="BB21" s="152">
        <f>AX21</f>
        <v>1</v>
      </c>
      <c r="BC21" s="444">
        <f>BA21*BB21</f>
        <v>1792595987.0726895</v>
      </c>
      <c r="BD21" s="152">
        <f>AR21</f>
        <v>1</v>
      </c>
      <c r="BE21" s="444">
        <f>BC21*BD21</f>
        <v>1792595987.0726895</v>
      </c>
      <c r="BF21" s="152">
        <f>AT21</f>
        <v>1</v>
      </c>
      <c r="BG21" s="444">
        <f>BE21*BF21</f>
        <v>1792595987.0726895</v>
      </c>
      <c r="BH21" s="152">
        <f>BD21</f>
        <v>1</v>
      </c>
      <c r="BI21" s="444">
        <f>BG21*BH21</f>
        <v>1792595987.0726895</v>
      </c>
      <c r="BJ21" s="152">
        <f>BF21</f>
        <v>1</v>
      </c>
      <c r="BK21" s="444">
        <f>BI21*BJ21</f>
        <v>1792595987.0726895</v>
      </c>
      <c r="BL21" s="152">
        <f>BH21</f>
        <v>1</v>
      </c>
      <c r="BM21" s="444">
        <f>BK21*BL21</f>
        <v>1792595987.0726895</v>
      </c>
      <c r="BN21" s="152">
        <f>BJ21</f>
        <v>1</v>
      </c>
      <c r="BO21" s="444">
        <f>BM21*BN21</f>
        <v>1792595987.0726895</v>
      </c>
      <c r="BP21" s="152">
        <f>BL21</f>
        <v>1</v>
      </c>
      <c r="BQ21" s="444">
        <f>BO21*BP21</f>
        <v>1792595987.0726895</v>
      </c>
      <c r="BR21" s="152">
        <f>BN21</f>
        <v>1</v>
      </c>
      <c r="BS21" s="444">
        <f>BQ21*BR21</f>
        <v>1792595987.0726895</v>
      </c>
      <c r="BT21" s="152">
        <f>BP21</f>
        <v>1</v>
      </c>
      <c r="BU21" s="444">
        <f>BS21*BT21</f>
        <v>1792595987.0726895</v>
      </c>
      <c r="BV21" s="152">
        <f>BR21</f>
        <v>1</v>
      </c>
      <c r="BW21" s="444">
        <f>BU21*BV21</f>
        <v>1792595987.0726895</v>
      </c>
      <c r="BX21" s="152">
        <f>BT21</f>
        <v>1</v>
      </c>
      <c r="BY21" s="444">
        <f>BW21*BX21</f>
        <v>1792595987.0726895</v>
      </c>
      <c r="BZ21" s="152">
        <f>BV21</f>
        <v>1</v>
      </c>
      <c r="CA21" s="444">
        <f>BY21*BZ21</f>
        <v>1792595987.0726895</v>
      </c>
      <c r="CB21" s="152">
        <f>BX21</f>
        <v>1</v>
      </c>
      <c r="CC21" s="444">
        <f>CA21*CB21</f>
        <v>1792595987.0726895</v>
      </c>
      <c r="CD21" s="152">
        <f>BZ21</f>
        <v>1</v>
      </c>
      <c r="CE21" s="444">
        <f>CC21*CD21</f>
        <v>1792595987.0726895</v>
      </c>
      <c r="CF21" s="152">
        <f>CB21</f>
        <v>1</v>
      </c>
      <c r="CG21" s="444">
        <f>CE21*CF21</f>
        <v>1792595987.0726895</v>
      </c>
      <c r="CH21" s="152">
        <f>CD21</f>
        <v>1</v>
      </c>
      <c r="CI21" s="444">
        <f>CG21*CH21</f>
        <v>1792595987.0726895</v>
      </c>
      <c r="CJ21" s="152">
        <f>BX21</f>
        <v>1</v>
      </c>
      <c r="CK21" s="444">
        <f>CI21*CJ21</f>
        <v>1792595987.0726895</v>
      </c>
      <c r="CL21" s="152">
        <f>BZ21</f>
        <v>1</v>
      </c>
      <c r="CM21" s="444">
        <f>CK21*CL21</f>
        <v>1792595987.0726895</v>
      </c>
      <c r="CN21" s="152">
        <f>CJ21</f>
        <v>1</v>
      </c>
      <c r="CO21" s="444">
        <f>CM21*CN21</f>
        <v>1792595987.0726895</v>
      </c>
      <c r="CP21" s="152">
        <f>CL21</f>
        <v>1</v>
      </c>
      <c r="CQ21" s="444">
        <f>CO21*CP21</f>
        <v>1792595987.0726895</v>
      </c>
      <c r="CR21" s="152">
        <f>AB21</f>
        <v>1</v>
      </c>
      <c r="CS21" s="444">
        <f>CQ21*CR21</f>
        <v>1792595987.0726895</v>
      </c>
      <c r="CT21" s="152">
        <f>AD21</f>
        <v>1</v>
      </c>
      <c r="CU21" s="444">
        <f>CS21*CT21</f>
        <v>1792595987.0726895</v>
      </c>
      <c r="CV21" s="152">
        <f>CR21</f>
        <v>1</v>
      </c>
      <c r="CW21" s="444">
        <f>CU21*CV21</f>
        <v>1792595987.0726895</v>
      </c>
      <c r="CX21" s="152">
        <f>CT21</f>
        <v>1</v>
      </c>
      <c r="CY21" s="444">
        <f>CW21*CX21</f>
        <v>1792595987.0726895</v>
      </c>
      <c r="CZ21" s="719">
        <f>G21+I21+M21+Q21+U21+Y21+AC21+AG21+AK21+AO21+AS21+AW21+BA21+BE21+BI21+BM21+BQ21+BU21+BY21+CC21+CG21+CK21+CO21+CS21+CW21</f>
        <v>44814899676.817253</v>
      </c>
      <c r="DB21" s="594">
        <f>CV21</f>
        <v>1</v>
      </c>
      <c r="DC21" s="444">
        <f>CY21*DB21</f>
        <v>1792595987.0726895</v>
      </c>
      <c r="DD21" s="623"/>
      <c r="DE21" s="624"/>
      <c r="DF21" s="628"/>
      <c r="DI21" s="473"/>
      <c r="DY21" s="976"/>
      <c r="DZ21" s="976"/>
      <c r="EI21" s="913"/>
    </row>
    <row r="22" spans="1:141" ht="16.2" thickBot="1" x14ac:dyDescent="0.35">
      <c r="C22" s="141"/>
      <c r="E22" s="371"/>
      <c r="F22" s="1093"/>
      <c r="G22" s="432" t="s">
        <v>738</v>
      </c>
      <c r="H22" s="142"/>
      <c r="I22" s="449" t="s">
        <v>738</v>
      </c>
      <c r="J22" s="433"/>
      <c r="K22" s="434"/>
      <c r="L22" s="142"/>
      <c r="M22" s="449" t="s">
        <v>738</v>
      </c>
      <c r="N22" s="433"/>
      <c r="O22" s="434"/>
      <c r="P22" s="142"/>
      <c r="Q22" s="449" t="s">
        <v>738</v>
      </c>
      <c r="R22" s="433"/>
      <c r="S22" s="434"/>
      <c r="T22" s="142"/>
      <c r="U22" s="449" t="s">
        <v>738</v>
      </c>
      <c r="V22" s="433"/>
      <c r="W22" s="434"/>
      <c r="X22" s="142"/>
      <c r="Y22" s="449" t="s">
        <v>738</v>
      </c>
      <c r="Z22" s="433"/>
      <c r="AA22" s="434"/>
      <c r="AB22" s="142"/>
      <c r="AC22" s="449" t="s">
        <v>738</v>
      </c>
      <c r="AD22" s="433"/>
      <c r="AE22" s="434"/>
      <c r="AF22" s="142"/>
      <c r="AG22" s="449" t="s">
        <v>738</v>
      </c>
      <c r="AH22" s="433"/>
      <c r="AI22" s="434"/>
      <c r="AJ22" s="142"/>
      <c r="AK22" s="449" t="s">
        <v>738</v>
      </c>
      <c r="AL22" s="433"/>
      <c r="AM22" s="434"/>
      <c r="AN22" s="142"/>
      <c r="AO22" s="449" t="s">
        <v>738</v>
      </c>
      <c r="AP22" s="433"/>
      <c r="AQ22" s="434"/>
      <c r="AR22" s="142"/>
      <c r="AS22" s="449" t="s">
        <v>738</v>
      </c>
      <c r="AT22" s="433"/>
      <c r="AU22" s="434"/>
      <c r="AV22" s="142"/>
      <c r="AW22" s="449" t="s">
        <v>738</v>
      </c>
      <c r="AX22" s="433"/>
      <c r="AY22" s="434"/>
      <c r="AZ22" s="142"/>
      <c r="BA22" s="449" t="s">
        <v>738</v>
      </c>
      <c r="BB22" s="433"/>
      <c r="BC22" s="434"/>
      <c r="BD22" s="142"/>
      <c r="BE22" s="449" t="s">
        <v>738</v>
      </c>
      <c r="BF22" s="433"/>
      <c r="BG22" s="434"/>
      <c r="BH22" s="142"/>
      <c r="BI22" s="449" t="s">
        <v>738</v>
      </c>
      <c r="BJ22" s="433"/>
      <c r="BK22" s="434"/>
      <c r="BL22" s="142"/>
      <c r="BM22" s="449" t="s">
        <v>738</v>
      </c>
      <c r="BN22" s="433"/>
      <c r="BO22" s="434"/>
      <c r="BP22" s="142"/>
      <c r="BQ22" s="449" t="s">
        <v>738</v>
      </c>
      <c r="BR22" s="433"/>
      <c r="BS22" s="434"/>
      <c r="BT22" s="142"/>
      <c r="BU22" s="449" t="s">
        <v>738</v>
      </c>
      <c r="BV22" s="433"/>
      <c r="BW22" s="434"/>
      <c r="BX22" s="142"/>
      <c r="BY22" s="449" t="s">
        <v>738</v>
      </c>
      <c r="BZ22" s="433"/>
      <c r="CA22" s="434"/>
      <c r="CB22" s="142"/>
      <c r="CC22" s="449" t="s">
        <v>738</v>
      </c>
      <c r="CD22" s="433"/>
      <c r="CE22" s="434"/>
      <c r="CF22" s="142"/>
      <c r="CG22" s="449" t="s">
        <v>738</v>
      </c>
      <c r="CH22" s="433"/>
      <c r="CI22" s="434"/>
      <c r="CJ22" s="142"/>
      <c r="CK22" s="449" t="s">
        <v>738</v>
      </c>
      <c r="CL22" s="433"/>
      <c r="CM22" s="434"/>
      <c r="CN22" s="142"/>
      <c r="CO22" s="449" t="s">
        <v>738</v>
      </c>
      <c r="CP22" s="433"/>
      <c r="CQ22" s="434"/>
      <c r="CR22" s="142"/>
      <c r="CS22" s="449" t="s">
        <v>738</v>
      </c>
      <c r="CT22" s="433"/>
      <c r="CU22" s="434"/>
      <c r="CV22" s="437"/>
      <c r="CW22" s="449" t="s">
        <v>738</v>
      </c>
      <c r="CX22" s="433"/>
      <c r="CY22" s="434"/>
      <c r="CZ22" s="180"/>
      <c r="DB22" s="437"/>
      <c r="DC22" s="449" t="s">
        <v>738</v>
      </c>
      <c r="DD22" s="623"/>
      <c r="DE22" s="623"/>
      <c r="DF22" s="628"/>
      <c r="DI22" s="473"/>
      <c r="DP22" s="1" t="s">
        <v>955</v>
      </c>
      <c r="DT22" s="581" t="s">
        <v>964</v>
      </c>
      <c r="DU22" s="75"/>
      <c r="DV22" s="75"/>
      <c r="DW22" s="986"/>
      <c r="DX22" s="896"/>
      <c r="DY22" s="980"/>
      <c r="DZ22" s="980"/>
      <c r="EA22" s="75"/>
      <c r="EC22" s="75"/>
      <c r="ED22" s="76"/>
      <c r="EE22" s="75"/>
      <c r="EF22" s="76">
        <f>EF31</f>
        <v>1372242051.072</v>
      </c>
      <c r="EG22" s="75"/>
      <c r="EH22" s="910"/>
      <c r="EI22" s="304"/>
    </row>
    <row r="23" spans="1:141" ht="16.2" thickBot="1" x14ac:dyDescent="0.35">
      <c r="C23" s="141"/>
      <c r="D23" s="94">
        <f>SUM(D14:D21)</f>
        <v>1</v>
      </c>
      <c r="E23" s="371"/>
      <c r="F23" s="1093">
        <v>0.25</v>
      </c>
      <c r="G23" s="432">
        <f>E21*F23</f>
        <v>1493829989.2272413</v>
      </c>
      <c r="H23" s="466">
        <v>1</v>
      </c>
      <c r="I23" s="432">
        <f>G23*H23</f>
        <v>1493829989.2272413</v>
      </c>
      <c r="J23" s="466">
        <v>1</v>
      </c>
      <c r="K23" s="449">
        <f>I23*J23</f>
        <v>1493829989.2272413</v>
      </c>
      <c r="L23" s="430">
        <f>H23</f>
        <v>1</v>
      </c>
      <c r="M23" s="449">
        <f>K23*L23</f>
        <v>1493829989.2272413</v>
      </c>
      <c r="N23" s="430">
        <f>J23</f>
        <v>1</v>
      </c>
      <c r="O23" s="449">
        <f>M23*N23</f>
        <v>1493829989.2272413</v>
      </c>
      <c r="P23" s="430">
        <f>L23</f>
        <v>1</v>
      </c>
      <c r="Q23" s="449">
        <f>O23*P23</f>
        <v>1493829989.2272413</v>
      </c>
      <c r="R23" s="430">
        <f>N23</f>
        <v>1</v>
      </c>
      <c r="S23" s="449">
        <f>Q23*R23</f>
        <v>1493829989.2272413</v>
      </c>
      <c r="T23" s="430">
        <f>P23</f>
        <v>1</v>
      </c>
      <c r="U23" s="449">
        <f>S23*T23</f>
        <v>1493829989.2272413</v>
      </c>
      <c r="V23" s="430">
        <f>R23</f>
        <v>1</v>
      </c>
      <c r="W23" s="449">
        <f>U23*V23</f>
        <v>1493829989.2272413</v>
      </c>
      <c r="X23" s="430">
        <f>T23</f>
        <v>1</v>
      </c>
      <c r="Y23" s="449">
        <f>W23*X23</f>
        <v>1493829989.2272413</v>
      </c>
      <c r="Z23" s="430">
        <f>V23</f>
        <v>1</v>
      </c>
      <c r="AA23" s="449">
        <f>Y23*Z23</f>
        <v>1493829989.2272413</v>
      </c>
      <c r="AB23" s="430">
        <f>X23</f>
        <v>1</v>
      </c>
      <c r="AC23" s="449">
        <f>AA23*AB23</f>
        <v>1493829989.2272413</v>
      </c>
      <c r="AD23" s="430">
        <f>Z23</f>
        <v>1</v>
      </c>
      <c r="AE23" s="449">
        <f>AC23*AD23</f>
        <v>1493829989.2272413</v>
      </c>
      <c r="AF23" s="430">
        <f>AB23</f>
        <v>1</v>
      </c>
      <c r="AG23" s="449">
        <f>AE23*AF23</f>
        <v>1493829989.2272413</v>
      </c>
      <c r="AH23" s="430">
        <f>AD23</f>
        <v>1</v>
      </c>
      <c r="AI23" s="449">
        <f>AG23*AH23</f>
        <v>1493829989.2272413</v>
      </c>
      <c r="AJ23" s="430">
        <f>AF23</f>
        <v>1</v>
      </c>
      <c r="AK23" s="449">
        <f>AI23*AJ23</f>
        <v>1493829989.2272413</v>
      </c>
      <c r="AL23" s="430">
        <f>AH23</f>
        <v>1</v>
      </c>
      <c r="AM23" s="449">
        <f>AK23*AL23</f>
        <v>1493829989.2272413</v>
      </c>
      <c r="AN23" s="430">
        <f>AJ23</f>
        <v>1</v>
      </c>
      <c r="AO23" s="449">
        <f>AM23*AN23</f>
        <v>1493829989.2272413</v>
      </c>
      <c r="AP23" s="430">
        <f>AL23</f>
        <v>1</v>
      </c>
      <c r="AQ23" s="449">
        <f>AO23*AP23</f>
        <v>1493829989.2272413</v>
      </c>
      <c r="AR23" s="430">
        <f>AN23</f>
        <v>1</v>
      </c>
      <c r="AS23" s="449">
        <f>AQ23*AR23</f>
        <v>1493829989.2272413</v>
      </c>
      <c r="AT23" s="430">
        <f>AP23</f>
        <v>1</v>
      </c>
      <c r="AU23" s="449">
        <f>AS23*AT23</f>
        <v>1493829989.2272413</v>
      </c>
      <c r="AV23" s="430">
        <f>AR23</f>
        <v>1</v>
      </c>
      <c r="AW23" s="449">
        <f>AU23*AV23</f>
        <v>1493829989.2272413</v>
      </c>
      <c r="AX23" s="430">
        <f>AT23</f>
        <v>1</v>
      </c>
      <c r="AY23" s="449">
        <f>AW23*AX23</f>
        <v>1493829989.2272413</v>
      </c>
      <c r="AZ23" s="430">
        <f>AV23</f>
        <v>1</v>
      </c>
      <c r="BA23" s="449">
        <f>AY23*AZ23</f>
        <v>1493829989.2272413</v>
      </c>
      <c r="BB23" s="430">
        <f>AX23</f>
        <v>1</v>
      </c>
      <c r="BC23" s="449">
        <f>BA23*BB23</f>
        <v>1493829989.2272413</v>
      </c>
      <c r="BD23" s="430">
        <f>AR23</f>
        <v>1</v>
      </c>
      <c r="BE23" s="449">
        <f>BC23*BD23</f>
        <v>1493829989.2272413</v>
      </c>
      <c r="BF23" s="430">
        <f>AT23</f>
        <v>1</v>
      </c>
      <c r="BG23" s="449">
        <f>BE23*BF23</f>
        <v>1493829989.2272413</v>
      </c>
      <c r="BH23" s="430">
        <f>BD23</f>
        <v>1</v>
      </c>
      <c r="BI23" s="449">
        <f>BG23*BH23</f>
        <v>1493829989.2272413</v>
      </c>
      <c r="BJ23" s="430">
        <f>BF23</f>
        <v>1</v>
      </c>
      <c r="BK23" s="449">
        <f>BI23*BJ23</f>
        <v>1493829989.2272413</v>
      </c>
      <c r="BL23" s="430">
        <f>BH23</f>
        <v>1</v>
      </c>
      <c r="BM23" s="449">
        <f>BK23*BL23</f>
        <v>1493829989.2272413</v>
      </c>
      <c r="BN23" s="430">
        <f>BJ23</f>
        <v>1</v>
      </c>
      <c r="BO23" s="449">
        <f>BM23*BN23</f>
        <v>1493829989.2272413</v>
      </c>
      <c r="BP23" s="430">
        <f>BL23</f>
        <v>1</v>
      </c>
      <c r="BQ23" s="449">
        <f>BO23*BP23</f>
        <v>1493829989.2272413</v>
      </c>
      <c r="BR23" s="430">
        <f>BN23</f>
        <v>1</v>
      </c>
      <c r="BS23" s="449">
        <f>BQ23*BR23</f>
        <v>1493829989.2272413</v>
      </c>
      <c r="BT23" s="430">
        <f>BP23</f>
        <v>1</v>
      </c>
      <c r="BU23" s="449">
        <f>BS23*BT23</f>
        <v>1493829989.2272413</v>
      </c>
      <c r="BV23" s="430">
        <f>BR23</f>
        <v>1</v>
      </c>
      <c r="BW23" s="449">
        <f>BU23*BV23</f>
        <v>1493829989.2272413</v>
      </c>
      <c r="BX23" s="430">
        <f>BT23</f>
        <v>1</v>
      </c>
      <c r="BY23" s="449">
        <f>BW23*BX23</f>
        <v>1493829989.2272413</v>
      </c>
      <c r="BZ23" s="430">
        <f>BV23</f>
        <v>1</v>
      </c>
      <c r="CA23" s="449">
        <f>BY23*BZ23</f>
        <v>1493829989.2272413</v>
      </c>
      <c r="CB23" s="430">
        <f>BX23</f>
        <v>1</v>
      </c>
      <c r="CC23" s="449">
        <f>CA23*CB23</f>
        <v>1493829989.2272413</v>
      </c>
      <c r="CD23" s="430">
        <f>BZ23</f>
        <v>1</v>
      </c>
      <c r="CE23" s="449">
        <f>CC23*CD23</f>
        <v>1493829989.2272413</v>
      </c>
      <c r="CF23" s="430">
        <f>CB23</f>
        <v>1</v>
      </c>
      <c r="CG23" s="449">
        <f>CE23*CF23</f>
        <v>1493829989.2272413</v>
      </c>
      <c r="CH23" s="430">
        <f>CD23</f>
        <v>1</v>
      </c>
      <c r="CI23" s="449">
        <f>CG23*CH23</f>
        <v>1493829989.2272413</v>
      </c>
      <c r="CJ23" s="430">
        <f>BX23</f>
        <v>1</v>
      </c>
      <c r="CK23" s="449">
        <f>CI23*CJ23</f>
        <v>1493829989.2272413</v>
      </c>
      <c r="CL23" s="430">
        <f>BZ23</f>
        <v>1</v>
      </c>
      <c r="CM23" s="449">
        <f>CK23*CL23</f>
        <v>1493829989.2272413</v>
      </c>
      <c r="CN23" s="430">
        <f>CJ23</f>
        <v>1</v>
      </c>
      <c r="CO23" s="449">
        <f>CM23*CN23</f>
        <v>1493829989.2272413</v>
      </c>
      <c r="CP23" s="430">
        <f>CL23</f>
        <v>1</v>
      </c>
      <c r="CQ23" s="449">
        <f>CO23*CP23</f>
        <v>1493829989.2272413</v>
      </c>
      <c r="CR23" s="430">
        <f>AB23</f>
        <v>1</v>
      </c>
      <c r="CS23" s="449">
        <f>CQ23*CR23</f>
        <v>1493829989.2272413</v>
      </c>
      <c r="CT23" s="430">
        <f>AD23</f>
        <v>1</v>
      </c>
      <c r="CU23" s="449">
        <f>CS23*CT23</f>
        <v>1493829989.2272413</v>
      </c>
      <c r="CV23" s="430">
        <f>CR23</f>
        <v>1</v>
      </c>
      <c r="CW23" s="449">
        <f>CU23*CV23</f>
        <v>1493829989.2272413</v>
      </c>
      <c r="CX23" s="430">
        <f>CT23</f>
        <v>1</v>
      </c>
      <c r="CY23" s="449">
        <f>CW23*CX23</f>
        <v>1493829989.2272413</v>
      </c>
      <c r="CZ23" s="719">
        <f>G23+I23+M23+Q23+U23+Y23+AC23+AG23+AK23+AO23+AS23+AW23+BA23+BE23+BI23+BM23+BQ23+BU23+BY23+CC23+CG23+CK23+CO23+CS23+CW23</f>
        <v>37345749730.68103</v>
      </c>
      <c r="DB23" s="595">
        <f>CV23</f>
        <v>1</v>
      </c>
      <c r="DC23" s="449">
        <f>CY23*DB23</f>
        <v>1493829989.2272413</v>
      </c>
      <c r="DD23" s="623"/>
      <c r="DE23" s="624"/>
      <c r="DF23" s="628"/>
      <c r="DI23" s="473"/>
      <c r="DN23" s="982" t="s">
        <v>989</v>
      </c>
      <c r="DO23" s="983">
        <v>2016</v>
      </c>
      <c r="DP23" s="910">
        <v>75543543000000</v>
      </c>
      <c r="DQ23" s="984">
        <v>2.5000000000000001E-2</v>
      </c>
      <c r="DR23" s="910">
        <f>DP23*DQ23</f>
        <v>1888588575000</v>
      </c>
      <c r="DT23" s="75"/>
      <c r="DU23" s="968">
        <v>2016</v>
      </c>
      <c r="DV23" s="305">
        <f>DV20</f>
        <v>10737418.24</v>
      </c>
      <c r="DW23" s="986">
        <v>64</v>
      </c>
      <c r="DX23" s="411">
        <f t="shared" ref="DX23:DX35" si="0">DW23*DV23</f>
        <v>687194767.36000001</v>
      </c>
      <c r="DY23" s="980"/>
      <c r="DZ23" s="980"/>
      <c r="EA23" s="305">
        <f t="shared" ref="EA23:EA35" si="1">DX23*DY23</f>
        <v>0</v>
      </c>
      <c r="EC23" s="75"/>
      <c r="ED23" s="76"/>
      <c r="EE23" s="75"/>
      <c r="EF23" s="953">
        <v>25000</v>
      </c>
      <c r="EG23" s="968" t="s">
        <v>1349</v>
      </c>
      <c r="EH23" s="910"/>
      <c r="EI23" s="981">
        <v>2016</v>
      </c>
    </row>
    <row r="24" spans="1:141" ht="16.2" thickBot="1" x14ac:dyDescent="0.35">
      <c r="C24" s="122"/>
      <c r="E24" s="7"/>
      <c r="F24" s="1094"/>
      <c r="G24" s="154" t="s">
        <v>293</v>
      </c>
      <c r="H24" s="7"/>
      <c r="I24" s="448" t="s">
        <v>294</v>
      </c>
      <c r="J24" s="122"/>
      <c r="K24" s="8"/>
      <c r="L24" s="7"/>
      <c r="M24" s="448" t="s">
        <v>294</v>
      </c>
      <c r="N24" s="122"/>
      <c r="O24" s="8"/>
      <c r="P24" s="7"/>
      <c r="Q24" s="448" t="s">
        <v>294</v>
      </c>
      <c r="R24" s="122"/>
      <c r="S24" s="8"/>
      <c r="T24" s="7"/>
      <c r="U24" s="448" t="s">
        <v>294</v>
      </c>
      <c r="V24" s="122"/>
      <c r="W24" s="8"/>
      <c r="X24" s="7"/>
      <c r="Y24" s="448" t="s">
        <v>294</v>
      </c>
      <c r="Z24" s="122"/>
      <c r="AA24" s="8"/>
      <c r="AB24" s="7"/>
      <c r="AC24" s="448" t="s">
        <v>294</v>
      </c>
      <c r="AD24" s="122"/>
      <c r="AE24" s="8"/>
      <c r="AF24" s="7"/>
      <c r="AG24" s="448" t="s">
        <v>294</v>
      </c>
      <c r="AH24" s="122"/>
      <c r="AI24" s="8"/>
      <c r="AJ24" s="7"/>
      <c r="AK24" s="448" t="s">
        <v>294</v>
      </c>
      <c r="AL24" s="122"/>
      <c r="AM24" s="8"/>
      <c r="AN24" s="7"/>
      <c r="AO24" s="448" t="s">
        <v>294</v>
      </c>
      <c r="AP24" s="122"/>
      <c r="AQ24" s="8"/>
      <c r="AR24" s="7"/>
      <c r="AS24" s="448" t="s">
        <v>294</v>
      </c>
      <c r="AT24" s="122"/>
      <c r="AU24" s="8"/>
      <c r="AV24" s="7"/>
      <c r="AW24" s="448" t="s">
        <v>294</v>
      </c>
      <c r="AX24" s="122"/>
      <c r="AY24" s="8"/>
      <c r="AZ24" s="7"/>
      <c r="BA24" s="448" t="s">
        <v>294</v>
      </c>
      <c r="BB24" s="122"/>
      <c r="BC24" s="8"/>
      <c r="BD24" s="7"/>
      <c r="BE24" s="448" t="s">
        <v>294</v>
      </c>
      <c r="BF24" s="122"/>
      <c r="BG24" s="8"/>
      <c r="BH24" s="7"/>
      <c r="BI24" s="448" t="s">
        <v>294</v>
      </c>
      <c r="BJ24" s="122"/>
      <c r="BK24" s="8"/>
      <c r="BL24" s="7"/>
      <c r="BM24" s="448" t="s">
        <v>294</v>
      </c>
      <c r="BN24" s="122"/>
      <c r="BO24" s="8"/>
      <c r="BP24" s="7"/>
      <c r="BQ24" s="448" t="s">
        <v>294</v>
      </c>
      <c r="BR24" s="122"/>
      <c r="BS24" s="8"/>
      <c r="BT24" s="7"/>
      <c r="BU24" s="448" t="s">
        <v>294</v>
      </c>
      <c r="BV24" s="122"/>
      <c r="BW24" s="8"/>
      <c r="BX24" s="7"/>
      <c r="BY24" s="448" t="s">
        <v>294</v>
      </c>
      <c r="BZ24" s="122"/>
      <c r="CA24" s="8"/>
      <c r="CB24" s="7"/>
      <c r="CC24" s="448" t="s">
        <v>294</v>
      </c>
      <c r="CD24" s="122"/>
      <c r="CE24" s="8"/>
      <c r="CF24" s="7"/>
      <c r="CG24" s="448" t="s">
        <v>294</v>
      </c>
      <c r="CH24" s="122"/>
      <c r="CI24" s="8"/>
      <c r="CJ24" s="7"/>
      <c r="CK24" s="448" t="s">
        <v>294</v>
      </c>
      <c r="CL24" s="122"/>
      <c r="CM24" s="8"/>
      <c r="CN24" s="7"/>
      <c r="CO24" s="448" t="s">
        <v>294</v>
      </c>
      <c r="CP24" s="122"/>
      <c r="CQ24" s="8"/>
      <c r="CR24" s="7"/>
      <c r="CS24" s="448" t="s">
        <v>294</v>
      </c>
      <c r="CT24" s="122"/>
      <c r="CU24" s="8"/>
      <c r="CV24" s="122"/>
      <c r="CW24" s="448" t="s">
        <v>294</v>
      </c>
      <c r="CX24" s="122"/>
      <c r="CY24" s="8"/>
      <c r="CZ24" s="126"/>
      <c r="DB24" s="122"/>
      <c r="DC24" s="448" t="s">
        <v>294</v>
      </c>
      <c r="DD24" s="623"/>
      <c r="DE24" s="623"/>
      <c r="DF24" s="628"/>
      <c r="DI24" s="473"/>
      <c r="DN24" s="982" t="s">
        <v>989</v>
      </c>
      <c r="DO24" s="983">
        <f>DO23+1</f>
        <v>2017</v>
      </c>
      <c r="DP24" s="910">
        <f>DP23+DR23</f>
        <v>77432131575000</v>
      </c>
      <c r="DQ24" s="985">
        <f>DQ23</f>
        <v>2.5000000000000001E-2</v>
      </c>
      <c r="DR24" s="910">
        <f>DP24*DQ24</f>
        <v>1935803289375</v>
      </c>
      <c r="DT24" s="75"/>
      <c r="DU24" s="968">
        <f>DU23+1</f>
        <v>2017</v>
      </c>
      <c r="DV24" s="305">
        <f>DV20</f>
        <v>10737418.24</v>
      </c>
      <c r="DW24" s="986">
        <v>64</v>
      </c>
      <c r="DX24" s="411">
        <f t="shared" si="0"/>
        <v>687194767.36000001</v>
      </c>
      <c r="DY24" s="980"/>
      <c r="DZ24" s="980"/>
      <c r="EA24" s="305">
        <f t="shared" si="1"/>
        <v>0</v>
      </c>
      <c r="EC24" s="75"/>
      <c r="ED24" s="76"/>
      <c r="EE24" s="75"/>
      <c r="EF24" s="76">
        <f>EF22/EF23</f>
        <v>54889.682042879998</v>
      </c>
      <c r="EG24" s="75"/>
      <c r="EH24" s="910"/>
      <c r="EI24" s="981">
        <f>EI23+1</f>
        <v>2017</v>
      </c>
    </row>
    <row r="25" spans="1:141" ht="16.2" thickBot="1" x14ac:dyDescent="0.35">
      <c r="C25" s="122"/>
      <c r="D25" s="573" t="s">
        <v>1367</v>
      </c>
      <c r="E25" s="7"/>
      <c r="F25" s="1094">
        <v>0.2</v>
      </c>
      <c r="G25" s="99">
        <f>E21*F25</f>
        <v>1195063991.381793</v>
      </c>
      <c r="H25" s="467">
        <v>1</v>
      </c>
      <c r="I25" s="99">
        <f>G25*H25</f>
        <v>1195063991.381793</v>
      </c>
      <c r="J25" s="467">
        <v>1</v>
      </c>
      <c r="K25" s="443">
        <f>I25*J25</f>
        <v>1195063991.381793</v>
      </c>
      <c r="L25" s="153">
        <f>H25</f>
        <v>1</v>
      </c>
      <c r="M25" s="443">
        <f>K25*L25</f>
        <v>1195063991.381793</v>
      </c>
      <c r="N25" s="153">
        <f>J25</f>
        <v>1</v>
      </c>
      <c r="O25" s="443">
        <f>M25*N25</f>
        <v>1195063991.381793</v>
      </c>
      <c r="P25" s="153">
        <f>L25</f>
        <v>1</v>
      </c>
      <c r="Q25" s="443">
        <f>O25*P25</f>
        <v>1195063991.381793</v>
      </c>
      <c r="R25" s="153">
        <f>N25</f>
        <v>1</v>
      </c>
      <c r="S25" s="443">
        <f>Q25*R25</f>
        <v>1195063991.381793</v>
      </c>
      <c r="T25" s="153">
        <f>P25</f>
        <v>1</v>
      </c>
      <c r="U25" s="443">
        <f>S25*T25</f>
        <v>1195063991.381793</v>
      </c>
      <c r="V25" s="153">
        <f>R25</f>
        <v>1</v>
      </c>
      <c r="W25" s="443">
        <f>U25*V25</f>
        <v>1195063991.381793</v>
      </c>
      <c r="X25" s="153">
        <f>T25</f>
        <v>1</v>
      </c>
      <c r="Y25" s="443">
        <f>W25*X25</f>
        <v>1195063991.381793</v>
      </c>
      <c r="Z25" s="153">
        <f>V25</f>
        <v>1</v>
      </c>
      <c r="AA25" s="443">
        <f>Y25*Z25</f>
        <v>1195063991.381793</v>
      </c>
      <c r="AB25" s="153">
        <f>X25</f>
        <v>1</v>
      </c>
      <c r="AC25" s="443">
        <f>AA25*AB25</f>
        <v>1195063991.381793</v>
      </c>
      <c r="AD25" s="153">
        <f>Z25</f>
        <v>1</v>
      </c>
      <c r="AE25" s="443">
        <f>AC25*AD25</f>
        <v>1195063991.381793</v>
      </c>
      <c r="AF25" s="153">
        <f>AB25</f>
        <v>1</v>
      </c>
      <c r="AG25" s="443">
        <f>AE25*AF25</f>
        <v>1195063991.381793</v>
      </c>
      <c r="AH25" s="153">
        <f>AD25</f>
        <v>1</v>
      </c>
      <c r="AI25" s="443">
        <f>AG25*AH25</f>
        <v>1195063991.381793</v>
      </c>
      <c r="AJ25" s="153">
        <f>AF25</f>
        <v>1</v>
      </c>
      <c r="AK25" s="443">
        <f>AI25*AJ25</f>
        <v>1195063991.381793</v>
      </c>
      <c r="AL25" s="153">
        <f>AH25</f>
        <v>1</v>
      </c>
      <c r="AM25" s="443">
        <f>AK25*AL25</f>
        <v>1195063991.381793</v>
      </c>
      <c r="AN25" s="153">
        <f>AJ25</f>
        <v>1</v>
      </c>
      <c r="AO25" s="443">
        <f>AM25*AN25</f>
        <v>1195063991.381793</v>
      </c>
      <c r="AP25" s="153">
        <f>AL25</f>
        <v>1</v>
      </c>
      <c r="AQ25" s="443">
        <f>AO25*AP25</f>
        <v>1195063991.381793</v>
      </c>
      <c r="AR25" s="153">
        <f>AN25</f>
        <v>1</v>
      </c>
      <c r="AS25" s="443">
        <f>AQ25*AR25</f>
        <v>1195063991.381793</v>
      </c>
      <c r="AT25" s="153">
        <f>AP25</f>
        <v>1</v>
      </c>
      <c r="AU25" s="443">
        <f>AS25*AT25</f>
        <v>1195063991.381793</v>
      </c>
      <c r="AV25" s="153">
        <f>AR25</f>
        <v>1</v>
      </c>
      <c r="AW25" s="443">
        <f>AU25*AV25</f>
        <v>1195063991.381793</v>
      </c>
      <c r="AX25" s="153">
        <f>AT25</f>
        <v>1</v>
      </c>
      <c r="AY25" s="443">
        <f>AW25*AX25</f>
        <v>1195063991.381793</v>
      </c>
      <c r="AZ25" s="153">
        <f>AV25</f>
        <v>1</v>
      </c>
      <c r="BA25" s="443">
        <f>AY25*AZ25</f>
        <v>1195063991.381793</v>
      </c>
      <c r="BB25" s="153">
        <f>AX25</f>
        <v>1</v>
      </c>
      <c r="BC25" s="443">
        <f>BA25*BB25</f>
        <v>1195063991.381793</v>
      </c>
      <c r="BD25" s="153">
        <f>AR25</f>
        <v>1</v>
      </c>
      <c r="BE25" s="443">
        <f>BC25*BD25</f>
        <v>1195063991.381793</v>
      </c>
      <c r="BF25" s="153">
        <f>AT25</f>
        <v>1</v>
      </c>
      <c r="BG25" s="443">
        <f>BE25*BF25</f>
        <v>1195063991.381793</v>
      </c>
      <c r="BH25" s="153">
        <f>BD25</f>
        <v>1</v>
      </c>
      <c r="BI25" s="443">
        <f>BG25*BH25</f>
        <v>1195063991.381793</v>
      </c>
      <c r="BJ25" s="153">
        <f>BF25</f>
        <v>1</v>
      </c>
      <c r="BK25" s="443">
        <f>BI25*BJ25</f>
        <v>1195063991.381793</v>
      </c>
      <c r="BL25" s="153">
        <f>BH25</f>
        <v>1</v>
      </c>
      <c r="BM25" s="443">
        <f>BK25*BL25</f>
        <v>1195063991.381793</v>
      </c>
      <c r="BN25" s="153">
        <f>BJ25</f>
        <v>1</v>
      </c>
      <c r="BO25" s="443">
        <f>BM25*BN25</f>
        <v>1195063991.381793</v>
      </c>
      <c r="BP25" s="153">
        <f>BL25</f>
        <v>1</v>
      </c>
      <c r="BQ25" s="443">
        <f>BO25*BP25</f>
        <v>1195063991.381793</v>
      </c>
      <c r="BR25" s="153">
        <f>BN25</f>
        <v>1</v>
      </c>
      <c r="BS25" s="443">
        <f>BQ25*BR25</f>
        <v>1195063991.381793</v>
      </c>
      <c r="BT25" s="153">
        <f>BP25</f>
        <v>1</v>
      </c>
      <c r="BU25" s="443">
        <f>BS25*BT25</f>
        <v>1195063991.381793</v>
      </c>
      <c r="BV25" s="153">
        <f>BR25</f>
        <v>1</v>
      </c>
      <c r="BW25" s="443">
        <f>BU25*BV25</f>
        <v>1195063991.381793</v>
      </c>
      <c r="BX25" s="153">
        <f>BT25</f>
        <v>1</v>
      </c>
      <c r="BY25" s="443">
        <f>BW25*BX25</f>
        <v>1195063991.381793</v>
      </c>
      <c r="BZ25" s="153">
        <f>BV25</f>
        <v>1</v>
      </c>
      <c r="CA25" s="443">
        <f>BY25*BZ25</f>
        <v>1195063991.381793</v>
      </c>
      <c r="CB25" s="153">
        <f>BX25</f>
        <v>1</v>
      </c>
      <c r="CC25" s="443">
        <f>CA25*CB25</f>
        <v>1195063991.381793</v>
      </c>
      <c r="CD25" s="153">
        <f>BZ25</f>
        <v>1</v>
      </c>
      <c r="CE25" s="443">
        <f>CC25*CD25</f>
        <v>1195063991.381793</v>
      </c>
      <c r="CF25" s="153">
        <f>CB25</f>
        <v>1</v>
      </c>
      <c r="CG25" s="443">
        <f>CE25*CF25</f>
        <v>1195063991.381793</v>
      </c>
      <c r="CH25" s="153">
        <f>CD25</f>
        <v>1</v>
      </c>
      <c r="CI25" s="443">
        <f>CG25*CH25</f>
        <v>1195063991.381793</v>
      </c>
      <c r="CJ25" s="153">
        <f>BX25</f>
        <v>1</v>
      </c>
      <c r="CK25" s="443">
        <f>CI25*CJ25</f>
        <v>1195063991.381793</v>
      </c>
      <c r="CL25" s="153">
        <f>BZ25</f>
        <v>1</v>
      </c>
      <c r="CM25" s="443">
        <f>CK25*CL25</f>
        <v>1195063991.381793</v>
      </c>
      <c r="CN25" s="153">
        <f>CJ25</f>
        <v>1</v>
      </c>
      <c r="CO25" s="443">
        <f>CM25*CN25</f>
        <v>1195063991.381793</v>
      </c>
      <c r="CP25" s="153">
        <f>CL25</f>
        <v>1</v>
      </c>
      <c r="CQ25" s="443">
        <f>CO25*CP25</f>
        <v>1195063991.381793</v>
      </c>
      <c r="CR25" s="153">
        <f>AB25</f>
        <v>1</v>
      </c>
      <c r="CS25" s="443">
        <f>CQ25*CR25</f>
        <v>1195063991.381793</v>
      </c>
      <c r="CT25" s="153">
        <f>AD25</f>
        <v>1</v>
      </c>
      <c r="CU25" s="443">
        <f>CS25*CT25</f>
        <v>1195063991.381793</v>
      </c>
      <c r="CV25" s="153">
        <f>CR25</f>
        <v>1</v>
      </c>
      <c r="CW25" s="443">
        <f>CU25*CV25</f>
        <v>1195063991.381793</v>
      </c>
      <c r="CX25" s="153">
        <f>CT25</f>
        <v>1</v>
      </c>
      <c r="CY25" s="443">
        <f>CW25*CX25</f>
        <v>1195063991.381793</v>
      </c>
      <c r="CZ25" s="719">
        <f>G25+I25+M25+Q25+U25+Y25+AC25+AG25+AK25+AO25+AS25+AW25+BA25+BE25+BI25+BM25+BQ25+BU25+BY25+CC25+CG25+CK25+CO25+CS25+CW25</f>
        <v>29876599784.544842</v>
      </c>
      <c r="DB25" s="596">
        <f>CV25</f>
        <v>1</v>
      </c>
      <c r="DC25" s="443">
        <f>CY25*DB25</f>
        <v>1195063991.381793</v>
      </c>
      <c r="DD25" s="623"/>
      <c r="DE25" s="624"/>
      <c r="DF25" s="628"/>
      <c r="DI25" s="473"/>
      <c r="DN25" s="982" t="s">
        <v>989</v>
      </c>
      <c r="DO25" s="983">
        <f t="shared" ref="DO25:DO35" si="2">DO24+1</f>
        <v>2018</v>
      </c>
      <c r="DP25" s="910">
        <f t="shared" ref="DP25:DP35" si="3">DP24+DR24</f>
        <v>79367934864375</v>
      </c>
      <c r="DQ25" s="985">
        <f t="shared" ref="DQ25:DQ35" si="4">DQ24</f>
        <v>2.5000000000000001E-2</v>
      </c>
      <c r="DR25" s="910">
        <f t="shared" ref="DR25:DR35" si="5">DP25*DQ25</f>
        <v>1984198371609.375</v>
      </c>
      <c r="DT25" s="75"/>
      <c r="DU25" s="968">
        <f t="shared" ref="DU25:DU35" si="6">DU24+1</f>
        <v>2018</v>
      </c>
      <c r="DV25" s="305">
        <f>DV20</f>
        <v>10737418.24</v>
      </c>
      <c r="DW25" s="986">
        <v>64</v>
      </c>
      <c r="DX25" s="411">
        <f t="shared" si="0"/>
        <v>687194767.36000001</v>
      </c>
      <c r="DY25" s="980">
        <v>2.5000000000000001E-2</v>
      </c>
      <c r="DZ25" s="980"/>
      <c r="EA25" s="305">
        <f t="shared" si="1"/>
        <v>17179869.184</v>
      </c>
      <c r="EB25" s="978" t="s">
        <v>1144</v>
      </c>
      <c r="EC25" s="305">
        <f t="shared" ref="EC25:EC55" si="7">EA25</f>
        <v>17179869.184</v>
      </c>
      <c r="ED25" s="691">
        <f t="shared" ref="ED25:ED35" si="8">EC25+ED24-EH25</f>
        <v>17179869.184</v>
      </c>
      <c r="EE25" s="893">
        <v>0.125</v>
      </c>
      <c r="EF25" s="973">
        <f>ED25*EE25</f>
        <v>2147483.648</v>
      </c>
      <c r="EG25" s="305">
        <f>CZ58</f>
        <v>8361523322.01966</v>
      </c>
      <c r="EH25" s="910">
        <f t="shared" ref="EH25:EH35" si="9">DX25*DZ25</f>
        <v>0</v>
      </c>
      <c r="EI25" s="981">
        <f t="shared" ref="EI25:EI55" si="10">EI24+1</f>
        <v>2018</v>
      </c>
    </row>
    <row r="26" spans="1:141" ht="19.2" thickBot="1" x14ac:dyDescent="0.5">
      <c r="C26" s="122"/>
      <c r="D26" s="571" t="s">
        <v>1368</v>
      </c>
      <c r="E26" s="7"/>
      <c r="F26" s="1095"/>
      <c r="G26" s="445" t="s">
        <v>733</v>
      </c>
      <c r="H26" s="7"/>
      <c r="I26" s="452" t="s">
        <v>733</v>
      </c>
      <c r="J26" s="122"/>
      <c r="K26" s="8"/>
      <c r="L26" s="7"/>
      <c r="M26" s="452" t="s">
        <v>733</v>
      </c>
      <c r="N26" s="122"/>
      <c r="O26" s="8"/>
      <c r="P26" s="7"/>
      <c r="Q26" s="452" t="s">
        <v>733</v>
      </c>
      <c r="R26" s="122"/>
      <c r="S26" s="8"/>
      <c r="T26" s="7"/>
      <c r="U26" s="452" t="s">
        <v>733</v>
      </c>
      <c r="V26" s="122"/>
      <c r="W26" s="8"/>
      <c r="X26" s="7"/>
      <c r="Y26" s="452" t="s">
        <v>733</v>
      </c>
      <c r="Z26" s="122"/>
      <c r="AA26" s="8"/>
      <c r="AB26" s="7"/>
      <c r="AC26" s="452" t="s">
        <v>733</v>
      </c>
      <c r="AD26" s="122"/>
      <c r="AE26" s="8"/>
      <c r="AF26" s="7"/>
      <c r="AG26" s="452" t="s">
        <v>733</v>
      </c>
      <c r="AH26" s="122"/>
      <c r="AI26" s="8"/>
      <c r="AJ26" s="7"/>
      <c r="AK26" s="452" t="s">
        <v>733</v>
      </c>
      <c r="AL26" s="122"/>
      <c r="AM26" s="8"/>
      <c r="AN26" s="7"/>
      <c r="AO26" s="452" t="s">
        <v>733</v>
      </c>
      <c r="AP26" s="122"/>
      <c r="AQ26" s="8"/>
      <c r="AR26" s="7"/>
      <c r="AS26" s="452" t="s">
        <v>733</v>
      </c>
      <c r="AT26" s="122"/>
      <c r="AU26" s="8"/>
      <c r="AV26" s="7"/>
      <c r="AW26" s="452" t="s">
        <v>733</v>
      </c>
      <c r="AX26" s="122"/>
      <c r="AY26" s="8"/>
      <c r="AZ26" s="7"/>
      <c r="BA26" s="452" t="s">
        <v>733</v>
      </c>
      <c r="BB26" s="122"/>
      <c r="BC26" s="8"/>
      <c r="BD26" s="7"/>
      <c r="BE26" s="452" t="s">
        <v>733</v>
      </c>
      <c r="BF26" s="122"/>
      <c r="BG26" s="8"/>
      <c r="BH26" s="7"/>
      <c r="BI26" s="452" t="s">
        <v>733</v>
      </c>
      <c r="BJ26" s="122"/>
      <c r="BK26" s="8"/>
      <c r="BL26" s="7"/>
      <c r="BM26" s="452" t="s">
        <v>733</v>
      </c>
      <c r="BN26" s="122"/>
      <c r="BO26" s="8"/>
      <c r="BP26" s="7"/>
      <c r="BQ26" s="452" t="s">
        <v>733</v>
      </c>
      <c r="BR26" s="122"/>
      <c r="BS26" s="8"/>
      <c r="BT26" s="7"/>
      <c r="BU26" s="452" t="s">
        <v>733</v>
      </c>
      <c r="BV26" s="122"/>
      <c r="BW26" s="8"/>
      <c r="BX26" s="7"/>
      <c r="BY26" s="452" t="s">
        <v>733</v>
      </c>
      <c r="BZ26" s="122"/>
      <c r="CA26" s="8"/>
      <c r="CB26" s="7"/>
      <c r="CC26" s="452" t="s">
        <v>733</v>
      </c>
      <c r="CD26" s="122"/>
      <c r="CE26" s="8"/>
      <c r="CF26" s="7"/>
      <c r="CG26" s="452" t="s">
        <v>733</v>
      </c>
      <c r="CH26" s="122"/>
      <c r="CI26" s="8"/>
      <c r="CJ26" s="7"/>
      <c r="CK26" s="452" t="s">
        <v>733</v>
      </c>
      <c r="CL26" s="122"/>
      <c r="CM26" s="8"/>
      <c r="CN26" s="7"/>
      <c r="CO26" s="452" t="s">
        <v>733</v>
      </c>
      <c r="CP26" s="122"/>
      <c r="CQ26" s="8"/>
      <c r="CR26" s="7"/>
      <c r="CS26" s="452" t="s">
        <v>733</v>
      </c>
      <c r="CT26" s="122"/>
      <c r="CU26" s="8"/>
      <c r="CV26" s="7"/>
      <c r="CW26" s="452" t="s">
        <v>733</v>
      </c>
      <c r="CX26" s="122"/>
      <c r="CY26" s="8"/>
      <c r="CZ26" s="126"/>
      <c r="DB26" s="122"/>
      <c r="DC26" s="452" t="s">
        <v>733</v>
      </c>
      <c r="DD26" s="623"/>
      <c r="DE26" s="623"/>
      <c r="DF26" s="628"/>
      <c r="DI26" s="473"/>
      <c r="DN26" s="982" t="s">
        <v>989</v>
      </c>
      <c r="DO26" s="983">
        <f t="shared" si="2"/>
        <v>2019</v>
      </c>
      <c r="DP26" s="910">
        <f t="shared" si="3"/>
        <v>81352133235984.375</v>
      </c>
      <c r="DQ26" s="985">
        <f t="shared" si="4"/>
        <v>2.5000000000000001E-2</v>
      </c>
      <c r="DR26" s="910">
        <f t="shared" si="5"/>
        <v>2033803330899.6094</v>
      </c>
      <c r="DT26" s="75"/>
      <c r="DU26" s="968">
        <f t="shared" si="6"/>
        <v>2019</v>
      </c>
      <c r="DV26" s="305">
        <f>DV20</f>
        <v>10737418.24</v>
      </c>
      <c r="DW26" s="986">
        <v>64</v>
      </c>
      <c r="DX26" s="411">
        <f t="shared" si="0"/>
        <v>687194767.36000001</v>
      </c>
      <c r="DY26" s="980">
        <v>0.2</v>
      </c>
      <c r="DZ26" s="980"/>
      <c r="EA26" s="305">
        <f t="shared" si="1"/>
        <v>137438953.472</v>
      </c>
      <c r="EB26" s="978" t="s">
        <v>1144</v>
      </c>
      <c r="EC26" s="305">
        <f t="shared" si="7"/>
        <v>137438953.472</v>
      </c>
      <c r="ED26" s="691">
        <f t="shared" si="8"/>
        <v>154618822.65600002</v>
      </c>
      <c r="EE26" s="893">
        <f>EE25</f>
        <v>0.125</v>
      </c>
      <c r="EF26" s="973">
        <f t="shared" ref="EF26:EF55" si="11">ED26*EE26</f>
        <v>19327352.832000002</v>
      </c>
      <c r="EG26" s="305">
        <f>EG25</f>
        <v>8361523322.01966</v>
      </c>
      <c r="EH26" s="910">
        <f t="shared" si="9"/>
        <v>0</v>
      </c>
      <c r="EI26" s="981">
        <f t="shared" si="10"/>
        <v>2019</v>
      </c>
    </row>
    <row r="27" spans="1:141" ht="19.2" thickBot="1" x14ac:dyDescent="0.5">
      <c r="C27" s="122"/>
      <c r="D27" s="574" t="s">
        <v>1369</v>
      </c>
      <c r="E27" s="7"/>
      <c r="F27" s="1096">
        <v>0.25</v>
      </c>
      <c r="G27" s="446">
        <f>E21*F27</f>
        <v>1493829989.2272413</v>
      </c>
      <c r="H27" s="447">
        <v>0.25</v>
      </c>
      <c r="I27" s="446">
        <f>G27*H27</f>
        <v>373457497.30681032</v>
      </c>
      <c r="J27" s="447">
        <v>1</v>
      </c>
      <c r="K27" s="439">
        <f>I27*J27</f>
        <v>373457497.30681032</v>
      </c>
      <c r="L27" s="438">
        <f>H27</f>
        <v>0.25</v>
      </c>
      <c r="M27" s="439">
        <f>K27*L27</f>
        <v>93364374.32670258</v>
      </c>
      <c r="N27" s="438">
        <f>J27</f>
        <v>1</v>
      </c>
      <c r="O27" s="439">
        <f>M27*N27</f>
        <v>93364374.32670258</v>
      </c>
      <c r="P27" s="438">
        <f>L27</f>
        <v>0.25</v>
      </c>
      <c r="Q27" s="439">
        <f>O27*P27</f>
        <v>23341093.581675645</v>
      </c>
      <c r="R27" s="438">
        <f>N27</f>
        <v>1</v>
      </c>
      <c r="S27" s="439">
        <f>Q27*R27</f>
        <v>23341093.581675645</v>
      </c>
      <c r="T27" s="438">
        <f>P27</f>
        <v>0.25</v>
      </c>
      <c r="U27" s="439">
        <f>S27*T27</f>
        <v>5835273.3954189112</v>
      </c>
      <c r="V27" s="438">
        <f>R27</f>
        <v>1</v>
      </c>
      <c r="W27" s="439">
        <f>U27*V27</f>
        <v>5835273.3954189112</v>
      </c>
      <c r="X27" s="438">
        <f>T27</f>
        <v>0.25</v>
      </c>
      <c r="Y27" s="439">
        <f>W27*X27</f>
        <v>1458818.3488547278</v>
      </c>
      <c r="Z27" s="438">
        <f>V27</f>
        <v>1</v>
      </c>
      <c r="AA27" s="439">
        <f>Y27*Z27</f>
        <v>1458818.3488547278</v>
      </c>
      <c r="AB27" s="438">
        <f>X27</f>
        <v>0.25</v>
      </c>
      <c r="AC27" s="439">
        <f>AA27*AB27</f>
        <v>364704.58721368195</v>
      </c>
      <c r="AD27" s="438">
        <f>Z27</f>
        <v>1</v>
      </c>
      <c r="AE27" s="439">
        <f>AC27*AD27</f>
        <v>364704.58721368195</v>
      </c>
      <c r="AF27" s="438">
        <f>AB27</f>
        <v>0.25</v>
      </c>
      <c r="AG27" s="439">
        <f>AE27*AF27</f>
        <v>91176.146803420488</v>
      </c>
      <c r="AH27" s="438">
        <f>AD27</f>
        <v>1</v>
      </c>
      <c r="AI27" s="439">
        <f>AG27*AH27</f>
        <v>91176.146803420488</v>
      </c>
      <c r="AJ27" s="438">
        <f>AF27</f>
        <v>0.25</v>
      </c>
      <c r="AK27" s="439">
        <f>AI27*AJ27</f>
        <v>22794.036700855122</v>
      </c>
      <c r="AL27" s="438">
        <f>AH27</f>
        <v>1</v>
      </c>
      <c r="AM27" s="439">
        <f>AK27*AL27</f>
        <v>22794.036700855122</v>
      </c>
      <c r="AN27" s="438">
        <f>AJ27</f>
        <v>0.25</v>
      </c>
      <c r="AO27" s="439">
        <f>AM27*AN27</f>
        <v>5698.5091752137805</v>
      </c>
      <c r="AP27" s="438">
        <f>AL27</f>
        <v>1</v>
      </c>
      <c r="AQ27" s="439">
        <f>AO27*AP27</f>
        <v>5698.5091752137805</v>
      </c>
      <c r="AR27" s="438">
        <f>AN27</f>
        <v>0.25</v>
      </c>
      <c r="AS27" s="439">
        <f>AQ27*AR27</f>
        <v>1424.6272938034451</v>
      </c>
      <c r="AT27" s="438">
        <f>AP27</f>
        <v>1</v>
      </c>
      <c r="AU27" s="439">
        <f>AS27*AT27</f>
        <v>1424.6272938034451</v>
      </c>
      <c r="AV27" s="438">
        <f>AR27</f>
        <v>0.25</v>
      </c>
      <c r="AW27" s="439">
        <f>AU27*AV27</f>
        <v>356.15682345086128</v>
      </c>
      <c r="AX27" s="438">
        <f>AT27</f>
        <v>1</v>
      </c>
      <c r="AY27" s="439">
        <f>AW27*AX27</f>
        <v>356.15682345086128</v>
      </c>
      <c r="AZ27" s="438">
        <f>AV27</f>
        <v>0.25</v>
      </c>
      <c r="BA27" s="439">
        <f>AY27*AZ27</f>
        <v>89.03920586271532</v>
      </c>
      <c r="BB27" s="438">
        <f>AX27</f>
        <v>1</v>
      </c>
      <c r="BC27" s="439">
        <f>BA27*BB27</f>
        <v>89.03920586271532</v>
      </c>
      <c r="BD27" s="438">
        <f>AR27</f>
        <v>0.25</v>
      </c>
      <c r="BE27" s="439">
        <f>BC27*BD27</f>
        <v>22.25980146567883</v>
      </c>
      <c r="BF27" s="438">
        <f>AT27</f>
        <v>1</v>
      </c>
      <c r="BG27" s="439">
        <f>BE27*BF27</f>
        <v>22.25980146567883</v>
      </c>
      <c r="BH27" s="438">
        <f>BD27</f>
        <v>0.25</v>
      </c>
      <c r="BI27" s="439">
        <f>BG27*BH27</f>
        <v>5.5649503664197075</v>
      </c>
      <c r="BJ27" s="438">
        <f>BF27</f>
        <v>1</v>
      </c>
      <c r="BK27" s="439">
        <f>BI27*BJ27</f>
        <v>5.5649503664197075</v>
      </c>
      <c r="BL27" s="438">
        <f>BH27</f>
        <v>0.25</v>
      </c>
      <c r="BM27" s="439">
        <f>BK27*BL27</f>
        <v>1.3912375916049269</v>
      </c>
      <c r="BN27" s="438">
        <f>BJ27</f>
        <v>1</v>
      </c>
      <c r="BO27" s="439">
        <f>BM27*BN27</f>
        <v>1.3912375916049269</v>
      </c>
      <c r="BP27" s="438">
        <f>BL27</f>
        <v>0.25</v>
      </c>
      <c r="BQ27" s="439">
        <f>BO27*BP27</f>
        <v>0.34780939790123172</v>
      </c>
      <c r="BR27" s="438">
        <f>BN27</f>
        <v>1</v>
      </c>
      <c r="BS27" s="439">
        <f>BQ27*BR27</f>
        <v>0.34780939790123172</v>
      </c>
      <c r="BT27" s="438">
        <f>BP27</f>
        <v>0.25</v>
      </c>
      <c r="BU27" s="439">
        <f>BS27*BT27</f>
        <v>8.695234947530793E-2</v>
      </c>
      <c r="BV27" s="438">
        <f>BR27</f>
        <v>1</v>
      </c>
      <c r="BW27" s="439">
        <f>BU27*BV27</f>
        <v>8.695234947530793E-2</v>
      </c>
      <c r="BX27" s="438">
        <f>BT27</f>
        <v>0.25</v>
      </c>
      <c r="BY27" s="439">
        <f>BW27*BX27</f>
        <v>2.1738087368826983E-2</v>
      </c>
      <c r="BZ27" s="438">
        <f>BV27</f>
        <v>1</v>
      </c>
      <c r="CA27" s="439">
        <f>BY27*BZ27</f>
        <v>2.1738087368826983E-2</v>
      </c>
      <c r="CB27" s="438">
        <f>BX27</f>
        <v>0.25</v>
      </c>
      <c r="CC27" s="439">
        <f>CA27*CB27</f>
        <v>5.4345218422067456E-3</v>
      </c>
      <c r="CD27" s="438">
        <f>BZ27</f>
        <v>1</v>
      </c>
      <c r="CE27" s="439">
        <f>CC27*CD27</f>
        <v>5.4345218422067456E-3</v>
      </c>
      <c r="CF27" s="438">
        <f>CB27</f>
        <v>0.25</v>
      </c>
      <c r="CG27" s="439">
        <f>CE27*CF27</f>
        <v>1.3586304605516864E-3</v>
      </c>
      <c r="CH27" s="438">
        <f>CD27</f>
        <v>1</v>
      </c>
      <c r="CI27" s="439">
        <f>CG27*CH27</f>
        <v>1.3586304605516864E-3</v>
      </c>
      <c r="CJ27" s="438">
        <f>BX27</f>
        <v>0.25</v>
      </c>
      <c r="CK27" s="439">
        <f>CI27*CJ27</f>
        <v>3.396576151379216E-4</v>
      </c>
      <c r="CL27" s="438">
        <f>BZ27</f>
        <v>1</v>
      </c>
      <c r="CM27" s="439">
        <f>CK27*CL27</f>
        <v>3.396576151379216E-4</v>
      </c>
      <c r="CN27" s="438">
        <f>CJ27</f>
        <v>0.25</v>
      </c>
      <c r="CO27" s="439">
        <f>CM27*CN27</f>
        <v>8.4914403784480401E-5</v>
      </c>
      <c r="CP27" s="438">
        <f>CL27</f>
        <v>1</v>
      </c>
      <c r="CQ27" s="439">
        <f>CO27*CP27</f>
        <v>8.4914403784480401E-5</v>
      </c>
      <c r="CR27" s="438">
        <f>AB27</f>
        <v>0.25</v>
      </c>
      <c r="CS27" s="439">
        <f>CQ27*CR27</f>
        <v>2.12286009461201E-5</v>
      </c>
      <c r="CT27" s="438">
        <f>AD27</f>
        <v>1</v>
      </c>
      <c r="CU27" s="439">
        <f>CS27*CT27</f>
        <v>2.12286009461201E-5</v>
      </c>
      <c r="CV27" s="438">
        <f>CR27</f>
        <v>0.25</v>
      </c>
      <c r="CW27" s="439">
        <f>CU27*CV27</f>
        <v>5.307150236530025E-6</v>
      </c>
      <c r="CX27" s="438">
        <f>CT27</f>
        <v>1</v>
      </c>
      <c r="CY27" s="439">
        <f>CW27*CX27</f>
        <v>5.307150236530025E-6</v>
      </c>
      <c r="CZ27" s="719">
        <f>G27+I27+M27+Q27+U27+Y27+AC27+AG27+AK27+AO27+AS27+AW27+BA27+BE27+BI27+BM27+BQ27+BU27+BY27+CC27+CG27+CK27+CO27+CS27+CW27</f>
        <v>1991773318.9696534</v>
      </c>
      <c r="DB27" s="597">
        <f>CV27</f>
        <v>0.25</v>
      </c>
      <c r="DC27" s="439">
        <f>CY27*DB27</f>
        <v>1.3267875591325063E-6</v>
      </c>
      <c r="DD27" s="623"/>
      <c r="DE27" s="624"/>
      <c r="DF27" s="628"/>
      <c r="DI27" s="473"/>
      <c r="DN27" s="982" t="s">
        <v>989</v>
      </c>
      <c r="DO27" s="983">
        <f t="shared" si="2"/>
        <v>2020</v>
      </c>
      <c r="DP27" s="910">
        <f t="shared" si="3"/>
        <v>83385936566883.984</v>
      </c>
      <c r="DQ27" s="985">
        <f t="shared" si="4"/>
        <v>2.5000000000000001E-2</v>
      </c>
      <c r="DR27" s="910">
        <f t="shared" si="5"/>
        <v>2084648414172.0996</v>
      </c>
      <c r="DS27" s="895" t="s">
        <v>1283</v>
      </c>
      <c r="DT27" s="75"/>
      <c r="DU27" s="968">
        <f t="shared" si="6"/>
        <v>2020</v>
      </c>
      <c r="DV27" s="305">
        <f>DV20</f>
        <v>10737418.24</v>
      </c>
      <c r="DW27" s="986">
        <v>64</v>
      </c>
      <c r="DX27" s="411">
        <f t="shared" si="0"/>
        <v>687194767.36000001</v>
      </c>
      <c r="DY27" s="980">
        <v>1.5</v>
      </c>
      <c r="DZ27" s="980"/>
      <c r="EA27" s="305">
        <f t="shared" si="1"/>
        <v>1030792151.04</v>
      </c>
      <c r="EB27" s="978" t="s">
        <v>1144</v>
      </c>
      <c r="EC27" s="305">
        <f t="shared" si="7"/>
        <v>1030792151.04</v>
      </c>
      <c r="ED27" s="691">
        <f t="shared" si="8"/>
        <v>1185410973.6960001</v>
      </c>
      <c r="EE27" s="893">
        <f t="shared" ref="EE27:EE31" si="12">EE26</f>
        <v>0.125</v>
      </c>
      <c r="EF27" s="973">
        <f t="shared" si="11"/>
        <v>148176371.71200001</v>
      </c>
      <c r="EG27" s="305">
        <f t="shared" ref="EG27:EG55" si="13">EG26</f>
        <v>8361523322.01966</v>
      </c>
      <c r="EH27" s="910">
        <f t="shared" si="9"/>
        <v>0</v>
      </c>
      <c r="EI27" s="981">
        <f t="shared" si="10"/>
        <v>2020</v>
      </c>
    </row>
    <row r="28" spans="1:141" ht="18.600000000000001" x14ac:dyDescent="0.45">
      <c r="C28" s="122"/>
      <c r="D28" s="572" t="s">
        <v>1370</v>
      </c>
      <c r="E28" s="7"/>
      <c r="F28" s="142"/>
      <c r="G28" s="371"/>
      <c r="H28" s="142"/>
      <c r="I28" s="434"/>
      <c r="J28" s="142"/>
      <c r="K28" s="434"/>
      <c r="L28" s="142"/>
      <c r="M28" s="434"/>
      <c r="N28" s="142"/>
      <c r="O28" s="434"/>
      <c r="P28" s="142"/>
      <c r="Q28" s="434"/>
      <c r="R28" s="142"/>
      <c r="S28" s="434"/>
      <c r="T28" s="142"/>
      <c r="U28" s="434"/>
      <c r="V28" s="142"/>
      <c r="W28" s="434"/>
      <c r="X28" s="142"/>
      <c r="Y28" s="434"/>
      <c r="Z28" s="142"/>
      <c r="AA28" s="434"/>
      <c r="AB28" s="142"/>
      <c r="AC28" s="434"/>
      <c r="AD28" s="142"/>
      <c r="AE28" s="434"/>
      <c r="AF28" s="142"/>
      <c r="AG28" s="434"/>
      <c r="AH28" s="142"/>
      <c r="AI28" s="434"/>
      <c r="AJ28" s="142"/>
      <c r="AK28" s="434"/>
      <c r="AL28" s="142"/>
      <c r="AM28" s="434"/>
      <c r="AN28" s="142"/>
      <c r="AO28" s="434"/>
      <c r="AP28" s="142"/>
      <c r="AQ28" s="434"/>
      <c r="AR28" s="142"/>
      <c r="AS28" s="434"/>
      <c r="AT28" s="142"/>
      <c r="AU28" s="434"/>
      <c r="AV28" s="142"/>
      <c r="AW28" s="434"/>
      <c r="AX28" s="142"/>
      <c r="AY28" s="434"/>
      <c r="AZ28" s="142"/>
      <c r="BA28" s="434"/>
      <c r="BB28" s="142"/>
      <c r="BC28" s="434"/>
      <c r="BD28" s="142"/>
      <c r="BE28" s="434"/>
      <c r="BF28" s="142"/>
      <c r="BG28" s="434"/>
      <c r="BH28" s="142"/>
      <c r="BI28" s="434"/>
      <c r="BJ28" s="142"/>
      <c r="BK28" s="434"/>
      <c r="BL28" s="142"/>
      <c r="BM28" s="434"/>
      <c r="BN28" s="142"/>
      <c r="BO28" s="434"/>
      <c r="BP28" s="142"/>
      <c r="BQ28" s="434"/>
      <c r="BR28" s="142"/>
      <c r="BS28" s="434"/>
      <c r="BT28" s="142"/>
      <c r="BU28" s="434"/>
      <c r="BV28" s="142"/>
      <c r="BW28" s="434"/>
      <c r="BX28" s="142"/>
      <c r="BY28" s="434"/>
      <c r="BZ28" s="142"/>
      <c r="CA28" s="434"/>
      <c r="CB28" s="142"/>
      <c r="CC28" s="434"/>
      <c r="CD28" s="142"/>
      <c r="CE28" s="434"/>
      <c r="CF28" s="142"/>
      <c r="CG28" s="434"/>
      <c r="CH28" s="142"/>
      <c r="CI28" s="434"/>
      <c r="CJ28" s="142"/>
      <c r="CK28" s="434"/>
      <c r="CL28" s="142"/>
      <c r="CM28" s="434"/>
      <c r="CN28" s="142"/>
      <c r="CO28" s="434"/>
      <c r="CP28" s="142"/>
      <c r="CQ28" s="434"/>
      <c r="CR28" s="142"/>
      <c r="CS28" s="434"/>
      <c r="CT28" s="142"/>
      <c r="CU28" s="434"/>
      <c r="CV28" s="437"/>
      <c r="CW28" s="434"/>
      <c r="CX28" s="142"/>
      <c r="CY28" s="434"/>
      <c r="CZ28" s="180"/>
      <c r="DB28" s="122"/>
      <c r="DC28" s="8"/>
      <c r="DD28" s="623"/>
      <c r="DE28" s="624"/>
      <c r="DF28" s="629">
        <f>DC5</f>
        <v>18309735474.494347</v>
      </c>
      <c r="DI28" s="473"/>
      <c r="DN28" s="982" t="s">
        <v>989</v>
      </c>
      <c r="DO28" s="983">
        <f t="shared" si="2"/>
        <v>2021</v>
      </c>
      <c r="DP28" s="910">
        <f t="shared" si="3"/>
        <v>85470584981056.078</v>
      </c>
      <c r="DQ28" s="985">
        <f t="shared" si="4"/>
        <v>2.5000000000000001E-2</v>
      </c>
      <c r="DR28" s="910">
        <f t="shared" si="5"/>
        <v>2136764624526.4021</v>
      </c>
      <c r="DT28" s="75"/>
      <c r="DU28" s="968">
        <f t="shared" si="6"/>
        <v>2021</v>
      </c>
      <c r="DV28" s="305">
        <f>DV20</f>
        <v>10737418.24</v>
      </c>
      <c r="DW28" s="986">
        <v>64</v>
      </c>
      <c r="DX28" s="411">
        <f t="shared" si="0"/>
        <v>687194767.36000001</v>
      </c>
      <c r="DY28" s="980">
        <v>1.25</v>
      </c>
      <c r="DZ28" s="980"/>
      <c r="EA28" s="305">
        <f t="shared" si="1"/>
        <v>858993459.20000005</v>
      </c>
      <c r="EB28" s="978" t="s">
        <v>1144</v>
      </c>
      <c r="EC28" s="305">
        <f t="shared" si="7"/>
        <v>858993459.20000005</v>
      </c>
      <c r="ED28" s="691">
        <f t="shared" si="8"/>
        <v>2044404432.8960001</v>
      </c>
      <c r="EE28" s="893">
        <f t="shared" si="12"/>
        <v>0.125</v>
      </c>
      <c r="EF28" s="973">
        <f t="shared" si="11"/>
        <v>255550554.11200002</v>
      </c>
      <c r="EG28" s="305">
        <f t="shared" si="13"/>
        <v>8361523322.01966</v>
      </c>
      <c r="EH28" s="910">
        <f t="shared" si="9"/>
        <v>0</v>
      </c>
      <c r="EI28" s="981">
        <f t="shared" si="10"/>
        <v>2021</v>
      </c>
    </row>
    <row r="29" spans="1:141" x14ac:dyDescent="0.3">
      <c r="A29" s="1" t="s">
        <v>899</v>
      </c>
      <c r="C29" s="122"/>
      <c r="D29" s="7"/>
      <c r="E29" s="7"/>
      <c r="F29" s="7"/>
      <c r="G29" s="7"/>
      <c r="H29" s="7"/>
      <c r="I29" s="8"/>
      <c r="J29" s="122"/>
      <c r="K29" s="8"/>
      <c r="L29" s="7"/>
      <c r="M29" s="8"/>
      <c r="N29" s="122"/>
      <c r="O29" s="8"/>
      <c r="P29" s="7"/>
      <c r="Q29" s="8"/>
      <c r="R29" s="122"/>
      <c r="S29" s="8"/>
      <c r="T29" s="7"/>
      <c r="U29" s="8"/>
      <c r="V29" s="122"/>
      <c r="W29" s="8"/>
      <c r="X29" s="7"/>
      <c r="Y29" s="8"/>
      <c r="Z29" s="122"/>
      <c r="AA29" s="8"/>
      <c r="AB29" s="7"/>
      <c r="AC29" s="8"/>
      <c r="AD29" s="122"/>
      <c r="AE29" s="8"/>
      <c r="AF29" s="7"/>
      <c r="AG29" s="8"/>
      <c r="AH29" s="122"/>
      <c r="AI29" s="8"/>
      <c r="AJ29" s="7"/>
      <c r="AK29" s="8"/>
      <c r="AL29" s="122"/>
      <c r="AM29" s="8"/>
      <c r="AN29" s="7"/>
      <c r="AO29" s="8"/>
      <c r="AP29" s="122"/>
      <c r="AQ29" s="8"/>
      <c r="AR29" s="7"/>
      <c r="AS29" s="8"/>
      <c r="AT29" s="122"/>
      <c r="AU29" s="8"/>
      <c r="AV29" s="7"/>
      <c r="AW29" s="8"/>
      <c r="AX29" s="122"/>
      <c r="AY29" s="8"/>
      <c r="AZ29" s="7"/>
      <c r="BA29" s="8"/>
      <c r="BB29" s="122"/>
      <c r="BC29" s="8"/>
      <c r="BD29" s="7"/>
      <c r="BE29" s="8"/>
      <c r="BF29" s="122"/>
      <c r="BG29" s="8"/>
      <c r="BH29" s="7"/>
      <c r="BI29" s="8"/>
      <c r="BJ29" s="122"/>
      <c r="BK29" s="8"/>
      <c r="BL29" s="7"/>
      <c r="BM29" s="8"/>
      <c r="BN29" s="122"/>
      <c r="BO29" s="8"/>
      <c r="BP29" s="7"/>
      <c r="BQ29" s="8"/>
      <c r="BR29" s="122"/>
      <c r="BS29" s="8"/>
      <c r="BT29" s="7"/>
      <c r="BU29" s="8"/>
      <c r="BV29" s="122"/>
      <c r="BW29" s="8"/>
      <c r="BX29" s="7"/>
      <c r="BY29" s="8"/>
      <c r="BZ29" s="122"/>
      <c r="CA29" s="8"/>
      <c r="CB29" s="7"/>
      <c r="CC29" s="8"/>
      <c r="CD29" s="122"/>
      <c r="CE29" s="8"/>
      <c r="CF29" s="7"/>
      <c r="CG29" s="8"/>
      <c r="CH29" s="122"/>
      <c r="CI29" s="8"/>
      <c r="CJ29" s="7"/>
      <c r="CK29" s="8"/>
      <c r="CL29" s="122"/>
      <c r="CM29" s="8"/>
      <c r="CN29" s="7"/>
      <c r="CO29" s="8"/>
      <c r="CP29" s="122"/>
      <c r="CQ29" s="8"/>
      <c r="CR29" s="7"/>
      <c r="CS29" s="8"/>
      <c r="CT29" s="122"/>
      <c r="CU29" s="8"/>
      <c r="CV29" s="122"/>
      <c r="CW29" s="8"/>
      <c r="CX29" s="122"/>
      <c r="CY29" s="8"/>
      <c r="CZ29" s="180">
        <f>SUM(CZ10:CZ27)</f>
        <v>422389410450.64746</v>
      </c>
      <c r="DB29" s="179"/>
      <c r="DC29" s="161">
        <f>SUM(DC10:DC28)</f>
        <v>16815905485.267107</v>
      </c>
      <c r="DD29" s="691">
        <v>1</v>
      </c>
      <c r="DE29" s="183">
        <f>DC29*DD29</f>
        <v>16815905485.267107</v>
      </c>
      <c r="DF29" s="645">
        <f>DE29+DF28</f>
        <v>35125640959.761452</v>
      </c>
      <c r="DG29" s="253" t="s">
        <v>1383</v>
      </c>
      <c r="DI29" s="473"/>
      <c r="DN29" s="982" t="s">
        <v>989</v>
      </c>
      <c r="DO29" s="983">
        <f>DO28+1</f>
        <v>2022</v>
      </c>
      <c r="DP29" s="910">
        <f>DP28+DR28</f>
        <v>87607349605582.484</v>
      </c>
      <c r="DQ29" s="985">
        <f>DQ28</f>
        <v>2.5000000000000001E-2</v>
      </c>
      <c r="DR29" s="910">
        <f t="shared" si="5"/>
        <v>2190183740139.5623</v>
      </c>
      <c r="DT29" s="75"/>
      <c r="DU29" s="968">
        <f>DU28+1</f>
        <v>2022</v>
      </c>
      <c r="DV29" s="305">
        <f>DV20</f>
        <v>10737418.24</v>
      </c>
      <c r="DW29" s="986">
        <v>64</v>
      </c>
      <c r="DX29" s="411">
        <f t="shared" si="0"/>
        <v>687194767.36000001</v>
      </c>
      <c r="DY29" s="980">
        <v>2</v>
      </c>
      <c r="DZ29" s="980"/>
      <c r="EA29" s="305">
        <f t="shared" si="1"/>
        <v>1374389534.72</v>
      </c>
      <c r="EB29" s="978" t="s">
        <v>1144</v>
      </c>
      <c r="EC29" s="305">
        <f t="shared" si="7"/>
        <v>1374389534.72</v>
      </c>
      <c r="ED29" s="691">
        <f t="shared" si="8"/>
        <v>3418793967.6160002</v>
      </c>
      <c r="EE29" s="893">
        <f t="shared" si="12"/>
        <v>0.125</v>
      </c>
      <c r="EF29" s="973">
        <f t="shared" si="11"/>
        <v>427349245.95200002</v>
      </c>
      <c r="EG29" s="305">
        <f t="shared" si="13"/>
        <v>8361523322.01966</v>
      </c>
      <c r="EH29" s="910">
        <f t="shared" si="9"/>
        <v>0</v>
      </c>
      <c r="EI29" s="981">
        <f>EI28+1</f>
        <v>2022</v>
      </c>
    </row>
    <row r="30" spans="1:141" x14ac:dyDescent="0.3">
      <c r="C30" s="158"/>
      <c r="D30" s="10"/>
      <c r="E30" s="10"/>
      <c r="F30" s="10"/>
      <c r="G30" s="159">
        <f>SUM(G10:G29)</f>
        <v>18309735474.494347</v>
      </c>
      <c r="H30" s="599"/>
      <c r="I30" s="172">
        <f>SUM(I10:I29)</f>
        <v>17189362982.573914</v>
      </c>
      <c r="J30" s="158"/>
      <c r="K30" s="11"/>
      <c r="L30" s="160"/>
      <c r="M30" s="161">
        <f>SUM(M10:M29)</f>
        <v>16909269859.593807</v>
      </c>
      <c r="N30" s="158"/>
      <c r="O30" s="11"/>
      <c r="P30" s="598"/>
      <c r="Q30" s="172">
        <f>SUM(Q10:Q29)</f>
        <v>16839246578.848782</v>
      </c>
      <c r="R30" s="158"/>
      <c r="S30" s="11"/>
      <c r="T30" s="160"/>
      <c r="U30" s="161">
        <f>SUM(U10:U29)</f>
        <v>16821740758.662523</v>
      </c>
      <c r="V30" s="158"/>
      <c r="W30" s="11"/>
      <c r="X30" s="598"/>
      <c r="Y30" s="172">
        <f>SUM(Y10:Y29)</f>
        <v>16817364303.615959</v>
      </c>
      <c r="Z30" s="158"/>
      <c r="AA30" s="11"/>
      <c r="AB30" s="160"/>
      <c r="AC30" s="161">
        <f>SUM(AC10:AC29)</f>
        <v>16816270189.854319</v>
      </c>
      <c r="AD30" s="158"/>
      <c r="AE30" s="11"/>
      <c r="AF30" s="598"/>
      <c r="AG30" s="172">
        <f>SUM(AG10:AG29)</f>
        <v>16815996661.413908</v>
      </c>
      <c r="AH30" s="158"/>
      <c r="AI30" s="11"/>
      <c r="AJ30" s="598"/>
      <c r="AK30" s="172">
        <f>SUM(AK10:AK29)</f>
        <v>16815928279.303806</v>
      </c>
      <c r="AL30" s="158"/>
      <c r="AM30" s="11"/>
      <c r="AN30" s="598"/>
      <c r="AO30" s="172">
        <f>SUM(AO10:AO29)</f>
        <v>16815911183.776279</v>
      </c>
      <c r="AP30" s="158"/>
      <c r="AQ30" s="11"/>
      <c r="AR30" s="598"/>
      <c r="AS30" s="172">
        <f>SUM(AS10:AS29)</f>
        <v>16815906909.8944</v>
      </c>
      <c r="AT30" s="158"/>
      <c r="AU30" s="11"/>
      <c r="AV30" s="598"/>
      <c r="AW30" s="172">
        <f>SUM(AW10:AW29)</f>
        <v>16815905841.423929</v>
      </c>
      <c r="AX30" s="158"/>
      <c r="AY30" s="11"/>
      <c r="AZ30" s="598"/>
      <c r="BA30" s="172">
        <f>SUM(BA10:BA29)</f>
        <v>16815905574.306311</v>
      </c>
      <c r="BB30" s="158"/>
      <c r="BC30" s="11"/>
      <c r="BD30" s="598"/>
      <c r="BE30" s="172">
        <f>SUM(BE10:BE29)</f>
        <v>16815905507.526907</v>
      </c>
      <c r="BF30" s="158"/>
      <c r="BG30" s="11"/>
      <c r="BH30" s="598"/>
      <c r="BI30" s="172">
        <f>SUM(BI10:BI29)</f>
        <v>16815905490.832056</v>
      </c>
      <c r="BJ30" s="158"/>
      <c r="BK30" s="11"/>
      <c r="BL30" s="598"/>
      <c r="BM30" s="172">
        <f>SUM(BM10:BM29)</f>
        <v>16815905486.658342</v>
      </c>
      <c r="BN30" s="158"/>
      <c r="BO30" s="11"/>
      <c r="BP30" s="598"/>
      <c r="BQ30" s="172">
        <f>SUM(BQ10:BQ29)</f>
        <v>16815905485.614914</v>
      </c>
      <c r="BR30" s="158"/>
      <c r="BS30" s="11"/>
      <c r="BT30" s="598"/>
      <c r="BU30" s="172">
        <f>SUM(BU10:BU29)</f>
        <v>16815905485.354057</v>
      </c>
      <c r="BV30" s="158"/>
      <c r="BW30" s="11"/>
      <c r="BX30" s="598"/>
      <c r="BY30" s="172">
        <f>SUM(BY10:BY29)</f>
        <v>16815905485.288843</v>
      </c>
      <c r="BZ30" s="158"/>
      <c r="CA30" s="11"/>
      <c r="CB30" s="598"/>
      <c r="CC30" s="172">
        <f>SUM(CC10:CC29)</f>
        <v>16815905485.272539</v>
      </c>
      <c r="CD30" s="158"/>
      <c r="CE30" s="11"/>
      <c r="CF30" s="598"/>
      <c r="CG30" s="172">
        <f>SUM(CG10:CG29)</f>
        <v>16815905485.268463</v>
      </c>
      <c r="CH30" s="158"/>
      <c r="CI30" s="11"/>
      <c r="CJ30" s="598"/>
      <c r="CK30" s="172">
        <f>SUM(CK10:CK29)</f>
        <v>16815905485.267445</v>
      </c>
      <c r="CL30" s="158"/>
      <c r="CM30" s="11"/>
      <c r="CN30" s="598"/>
      <c r="CO30" s="172">
        <f>SUM(CO10:CO29)</f>
        <v>16815905485.267191</v>
      </c>
      <c r="CP30" s="158"/>
      <c r="CQ30" s="11"/>
      <c r="CR30" s="598"/>
      <c r="CS30" s="172">
        <f>SUM(CS10:CS29)</f>
        <v>16815905485.267126</v>
      </c>
      <c r="CT30" s="158"/>
      <c r="CU30" s="11"/>
      <c r="CV30" s="179"/>
      <c r="CW30" s="161">
        <f>SUM(CW10:CW29)</f>
        <v>16815905485.267111</v>
      </c>
      <c r="CX30" s="158"/>
      <c r="CY30" s="11"/>
      <c r="CZ30" s="161">
        <f>G30+I30+M30+Q30+U30+Y30+AC30+CS30+CW30</f>
        <v>153334801118.17789</v>
      </c>
      <c r="DF30" s="253" t="s">
        <v>1383</v>
      </c>
      <c r="DI30" s="473"/>
      <c r="DN30" s="982" t="s">
        <v>989</v>
      </c>
      <c r="DO30" s="983">
        <f>DO29+1</f>
        <v>2023</v>
      </c>
      <c r="DP30" s="910">
        <f>DP29+DR29</f>
        <v>89797533345722.047</v>
      </c>
      <c r="DQ30" s="985">
        <f>DQ29</f>
        <v>2.5000000000000001E-2</v>
      </c>
      <c r="DR30" s="910">
        <f t="shared" si="5"/>
        <v>2244938333643.0513</v>
      </c>
      <c r="DT30" s="75"/>
      <c r="DU30" s="968">
        <f>DU29+1</f>
        <v>2023</v>
      </c>
      <c r="DV30" s="305">
        <f>DV20</f>
        <v>10737418.24</v>
      </c>
      <c r="DW30" s="986">
        <v>64</v>
      </c>
      <c r="DX30" s="411">
        <f t="shared" si="0"/>
        <v>687194767.36000001</v>
      </c>
      <c r="DY30" s="980">
        <v>3</v>
      </c>
      <c r="DZ30" s="980"/>
      <c r="EA30" s="305">
        <f t="shared" si="1"/>
        <v>2061584302.0799999</v>
      </c>
      <c r="EB30" s="978" t="s">
        <v>1144</v>
      </c>
      <c r="EC30" s="305">
        <f t="shared" si="7"/>
        <v>2061584302.0799999</v>
      </c>
      <c r="ED30" s="691">
        <f t="shared" si="8"/>
        <v>5480378269.6960001</v>
      </c>
      <c r="EE30" s="893">
        <f t="shared" si="12"/>
        <v>0.125</v>
      </c>
      <c r="EF30" s="973">
        <f t="shared" si="11"/>
        <v>685047283.71200001</v>
      </c>
      <c r="EG30" s="305">
        <f t="shared" si="13"/>
        <v>8361523322.01966</v>
      </c>
      <c r="EH30" s="910">
        <f t="shared" si="9"/>
        <v>0</v>
      </c>
      <c r="EI30" s="981">
        <f>EI29+1</f>
        <v>2023</v>
      </c>
    </row>
    <row r="31" spans="1:141" x14ac:dyDescent="0.3">
      <c r="I31" s="30"/>
      <c r="Q31" s="30"/>
      <c r="Y31" s="30"/>
      <c r="CZ31" s="999" t="s">
        <v>1355</v>
      </c>
      <c r="DB31" s="77" t="s">
        <v>1382</v>
      </c>
      <c r="DC31" s="567">
        <f>CZ34</f>
        <v>24.034557968875088</v>
      </c>
      <c r="DD31" s="76"/>
      <c r="DE31" s="76" t="s">
        <v>957</v>
      </c>
      <c r="DI31" s="473"/>
      <c r="DN31" s="982" t="s">
        <v>989</v>
      </c>
      <c r="DO31" s="983">
        <f t="shared" si="2"/>
        <v>2024</v>
      </c>
      <c r="DP31" s="910">
        <f t="shared" si="3"/>
        <v>92042471679365.094</v>
      </c>
      <c r="DQ31" s="985">
        <f t="shared" si="4"/>
        <v>2.5000000000000001E-2</v>
      </c>
      <c r="DR31" s="910">
        <f t="shared" si="5"/>
        <v>2301061791984.1274</v>
      </c>
      <c r="DS31" s="895" t="s">
        <v>1282</v>
      </c>
      <c r="DT31" s="75"/>
      <c r="DU31" s="968">
        <f t="shared" si="6"/>
        <v>2024</v>
      </c>
      <c r="DV31" s="305">
        <f>DV20</f>
        <v>10737418.24</v>
      </c>
      <c r="DW31" s="986">
        <v>64</v>
      </c>
      <c r="DX31" s="411">
        <f t="shared" si="0"/>
        <v>687194767.36000001</v>
      </c>
      <c r="DY31" s="980">
        <v>8</v>
      </c>
      <c r="DZ31" s="980"/>
      <c r="EA31" s="305">
        <f t="shared" si="1"/>
        <v>5497558138.8800001</v>
      </c>
      <c r="EB31" s="978" t="s">
        <v>1144</v>
      </c>
      <c r="EC31" s="305">
        <f t="shared" si="7"/>
        <v>5497558138.8800001</v>
      </c>
      <c r="ED31" s="691">
        <f t="shared" si="8"/>
        <v>10977936408.576</v>
      </c>
      <c r="EE31" s="893">
        <f t="shared" si="12"/>
        <v>0.125</v>
      </c>
      <c r="EF31" s="995">
        <f t="shared" si="11"/>
        <v>1372242051.072</v>
      </c>
      <c r="EG31" s="305">
        <f t="shared" si="13"/>
        <v>8361523322.01966</v>
      </c>
      <c r="EH31" s="910">
        <f t="shared" si="9"/>
        <v>0</v>
      </c>
      <c r="EI31" s="981">
        <f t="shared" si="10"/>
        <v>2024</v>
      </c>
      <c r="EJ31" s="1000">
        <v>0.125</v>
      </c>
      <c r="EK31" s="1001">
        <f>EF31*EE31</f>
        <v>171530256.384</v>
      </c>
    </row>
    <row r="32" spans="1:141" x14ac:dyDescent="0.3">
      <c r="A32" s="690"/>
      <c r="B32" s="690"/>
      <c r="I32" s="690"/>
      <c r="CY32" s="1150" t="s">
        <v>306</v>
      </c>
      <c r="CZ32" s="182">
        <f>E8</f>
        <v>36619470948.988693</v>
      </c>
      <c r="DB32" s="736">
        <f>CZ47</f>
        <v>36619470948.988693</v>
      </c>
      <c r="DC32" s="568">
        <f>DB32*CZ34</f>
        <v>880132797313.00598</v>
      </c>
      <c r="DD32" s="208">
        <f>DA49</f>
        <v>0.66163000000000005</v>
      </c>
      <c r="DE32" s="691">
        <f>DC32*DD32</f>
        <v>582322262686.20422</v>
      </c>
      <c r="DI32" s="473"/>
      <c r="DN32" s="332" t="s">
        <v>989</v>
      </c>
      <c r="DO32" s="953">
        <f>DO31+1</f>
        <v>2025</v>
      </c>
      <c r="DP32" s="691">
        <f>DP31+DR31</f>
        <v>94343533471349.219</v>
      </c>
      <c r="DQ32" s="894">
        <f>DQ31</f>
        <v>2.5000000000000001E-2</v>
      </c>
      <c r="DR32" s="691">
        <f t="shared" si="5"/>
        <v>2358588336783.7305</v>
      </c>
      <c r="DT32" s="332" t="s">
        <v>963</v>
      </c>
      <c r="DU32" s="953">
        <f>DU31+1</f>
        <v>2025</v>
      </c>
      <c r="DV32" s="691">
        <f>DV20</f>
        <v>10737418.24</v>
      </c>
      <c r="DW32" s="987">
        <v>64</v>
      </c>
      <c r="DX32" s="875">
        <f t="shared" si="0"/>
        <v>687194767.36000001</v>
      </c>
      <c r="DY32" s="977"/>
      <c r="DZ32" s="977"/>
      <c r="EA32" s="691">
        <f t="shared" si="1"/>
        <v>0</v>
      </c>
      <c r="EC32" s="691">
        <f t="shared" si="7"/>
        <v>0</v>
      </c>
      <c r="ED32" s="691">
        <f t="shared" si="8"/>
        <v>10977936408.576</v>
      </c>
      <c r="EE32" s="894">
        <f>EE31</f>
        <v>0.125</v>
      </c>
      <c r="EF32" s="975">
        <f t="shared" si="11"/>
        <v>1372242051.072</v>
      </c>
      <c r="EG32" s="691">
        <f t="shared" si="13"/>
        <v>8361523322.01966</v>
      </c>
      <c r="EH32" s="183">
        <f t="shared" si="9"/>
        <v>0</v>
      </c>
      <c r="EI32" s="949">
        <f>EI31+1</f>
        <v>2025</v>
      </c>
    </row>
    <row r="33" spans="1:139" x14ac:dyDescent="0.3">
      <c r="I33" s="690"/>
      <c r="J33" s="18"/>
      <c r="K33" s="690"/>
      <c r="CY33" s="122" t="s">
        <v>307</v>
      </c>
      <c r="CZ33" s="183">
        <f>CZ29+CZ5</f>
        <v>880132797313.00598</v>
      </c>
      <c r="DC33" s="248"/>
      <c r="DE33" s="181"/>
      <c r="DI33" s="473"/>
      <c r="DN33" s="332" t="s">
        <v>989</v>
      </c>
      <c r="DO33" s="953">
        <f t="shared" si="2"/>
        <v>2026</v>
      </c>
      <c r="DP33" s="691">
        <f t="shared" si="3"/>
        <v>96702121808132.953</v>
      </c>
      <c r="DQ33" s="894">
        <f t="shared" si="4"/>
        <v>2.5000000000000001E-2</v>
      </c>
      <c r="DR33" s="691">
        <f t="shared" si="5"/>
        <v>2417553045203.3237</v>
      </c>
      <c r="DT33" s="332"/>
      <c r="DU33" s="953">
        <f t="shared" si="6"/>
        <v>2026</v>
      </c>
      <c r="DV33" s="691">
        <f>DV20</f>
        <v>10737418.24</v>
      </c>
      <c r="DW33" s="987">
        <v>64</v>
      </c>
      <c r="DX33" s="875">
        <f t="shared" si="0"/>
        <v>687194767.36000001</v>
      </c>
      <c r="DY33" s="977"/>
      <c r="DZ33" s="977"/>
      <c r="EA33" s="691">
        <f t="shared" si="1"/>
        <v>0</v>
      </c>
      <c r="EC33" s="691">
        <f t="shared" si="7"/>
        <v>0</v>
      </c>
      <c r="ED33" s="691">
        <f t="shared" si="8"/>
        <v>10977936408.576</v>
      </c>
      <c r="EE33" s="894">
        <f>EE32</f>
        <v>0.125</v>
      </c>
      <c r="EF33" s="975">
        <f t="shared" si="11"/>
        <v>1372242051.072</v>
      </c>
      <c r="EG33" s="691">
        <f t="shared" si="13"/>
        <v>8361523322.01966</v>
      </c>
      <c r="EH33" s="183">
        <f t="shared" si="9"/>
        <v>0</v>
      </c>
      <c r="EI33" s="949">
        <f t="shared" si="10"/>
        <v>2026</v>
      </c>
    </row>
    <row r="34" spans="1:139" x14ac:dyDescent="0.3">
      <c r="A34" s="690"/>
      <c r="B34" s="690"/>
      <c r="C34" s="900" t="s">
        <v>1036</v>
      </c>
      <c r="D34" s="901" t="s">
        <v>1287</v>
      </c>
      <c r="E34" s="4"/>
      <c r="F34" s="4"/>
      <c r="G34" s="5"/>
      <c r="CY34" s="1150" t="s">
        <v>310</v>
      </c>
      <c r="CZ34" s="184">
        <f>CZ33/CZ32</f>
        <v>24.034557968875088</v>
      </c>
      <c r="DA34" s="239"/>
      <c r="DB34" s="239" t="s">
        <v>974</v>
      </c>
      <c r="DC34" s="248" t="s">
        <v>1384</v>
      </c>
      <c r="DD34" s="239"/>
      <c r="DE34" s="181"/>
      <c r="DI34" s="473"/>
      <c r="DN34" s="332" t="s">
        <v>989</v>
      </c>
      <c r="DO34" s="953">
        <f t="shared" si="2"/>
        <v>2027</v>
      </c>
      <c r="DP34" s="691">
        <f t="shared" si="3"/>
        <v>99119674853336.281</v>
      </c>
      <c r="DQ34" s="894">
        <f t="shared" si="4"/>
        <v>2.5000000000000001E-2</v>
      </c>
      <c r="DR34" s="691">
        <f t="shared" si="5"/>
        <v>2477991871333.4072</v>
      </c>
      <c r="DT34" s="76"/>
      <c r="DU34" s="953">
        <f t="shared" si="6"/>
        <v>2027</v>
      </c>
      <c r="DV34" s="691">
        <f>DV20</f>
        <v>10737418.24</v>
      </c>
      <c r="DW34" s="987">
        <v>64</v>
      </c>
      <c r="DX34" s="875">
        <f t="shared" si="0"/>
        <v>687194767.36000001</v>
      </c>
      <c r="DY34" s="977"/>
      <c r="DZ34" s="977"/>
      <c r="EA34" s="691">
        <f t="shared" si="1"/>
        <v>0</v>
      </c>
      <c r="EC34" s="691">
        <f t="shared" si="7"/>
        <v>0</v>
      </c>
      <c r="ED34" s="691">
        <f t="shared" si="8"/>
        <v>10977936408.576</v>
      </c>
      <c r="EE34" s="894">
        <f t="shared" ref="EE34:EE55" si="14">EE33</f>
        <v>0.125</v>
      </c>
      <c r="EF34" s="975">
        <f t="shared" si="11"/>
        <v>1372242051.072</v>
      </c>
      <c r="EG34" s="691">
        <f t="shared" si="13"/>
        <v>8361523322.01966</v>
      </c>
      <c r="EH34" s="183">
        <f t="shared" si="9"/>
        <v>0</v>
      </c>
      <c r="EI34" s="949">
        <f t="shared" si="10"/>
        <v>2027</v>
      </c>
    </row>
    <row r="35" spans="1:139" x14ac:dyDescent="0.3">
      <c r="A35" s="690"/>
      <c r="B35" s="690"/>
      <c r="C35" s="122" t="s">
        <v>732</v>
      </c>
      <c r="D35" s="287" t="s">
        <v>1288</v>
      </c>
      <c r="E35" s="7" t="s">
        <v>1289</v>
      </c>
      <c r="F35" s="7"/>
      <c r="G35" s="8"/>
      <c r="CX35" s="38"/>
      <c r="CY35" s="1150" t="s">
        <v>785</v>
      </c>
      <c r="CZ35" s="472"/>
      <c r="DA35" s="473"/>
      <c r="DB35" s="472"/>
      <c r="DC35" s="472">
        <f>DB35-CZ35</f>
        <v>0</v>
      </c>
      <c r="DD35" s="473"/>
      <c r="DE35" s="563"/>
      <c r="DF35" s="473"/>
      <c r="DG35" s="473"/>
      <c r="DH35" s="473"/>
      <c r="DI35" s="473"/>
      <c r="DJ35" s="88"/>
      <c r="DK35" s="88"/>
      <c r="DL35" s="88"/>
      <c r="DM35" s="88"/>
      <c r="DN35" s="332" t="s">
        <v>989</v>
      </c>
      <c r="DO35" s="953">
        <f t="shared" si="2"/>
        <v>2028</v>
      </c>
      <c r="DP35" s="691">
        <f t="shared" si="3"/>
        <v>101597666724669.69</v>
      </c>
      <c r="DQ35" s="894">
        <f t="shared" si="4"/>
        <v>2.5000000000000001E-2</v>
      </c>
      <c r="DR35" s="691">
        <f t="shared" si="5"/>
        <v>2539941668116.7422</v>
      </c>
      <c r="DT35" s="76"/>
      <c r="DU35" s="953">
        <f t="shared" si="6"/>
        <v>2028</v>
      </c>
      <c r="DV35" s="691">
        <f>DV20</f>
        <v>10737418.24</v>
      </c>
      <c r="DW35" s="987">
        <v>64</v>
      </c>
      <c r="DX35" s="875">
        <f t="shared" si="0"/>
        <v>687194767.36000001</v>
      </c>
      <c r="DY35" s="977"/>
      <c r="DZ35" s="977"/>
      <c r="EA35" s="691">
        <f t="shared" si="1"/>
        <v>0</v>
      </c>
      <c r="EC35" s="691">
        <f t="shared" si="7"/>
        <v>0</v>
      </c>
      <c r="ED35" s="691">
        <f t="shared" si="8"/>
        <v>10977936408.576</v>
      </c>
      <c r="EE35" s="894">
        <f t="shared" si="14"/>
        <v>0.125</v>
      </c>
      <c r="EF35" s="975">
        <f t="shared" si="11"/>
        <v>1372242051.072</v>
      </c>
      <c r="EG35" s="691">
        <f t="shared" si="13"/>
        <v>8361523322.01966</v>
      </c>
      <c r="EH35" s="183">
        <f t="shared" si="9"/>
        <v>0</v>
      </c>
      <c r="EI35" s="949">
        <f t="shared" si="10"/>
        <v>2028</v>
      </c>
    </row>
    <row r="36" spans="1:139" x14ac:dyDescent="0.3">
      <c r="A36" s="690"/>
      <c r="B36" s="690"/>
      <c r="C36" s="1151">
        <v>32</v>
      </c>
      <c r="D36" s="411">
        <f>'POP Dimensions'!J15</f>
        <v>21474836.48</v>
      </c>
      <c r="E36" s="411">
        <f>C36*D36</f>
        <v>687194767.36000001</v>
      </c>
      <c r="F36" s="896"/>
      <c r="G36" s="902" t="s">
        <v>732</v>
      </c>
      <c r="CX36" s="38"/>
      <c r="CY36" s="1206" t="s">
        <v>1445</v>
      </c>
      <c r="CZ36" s="1207">
        <f>'POP Dimensions'!L16*300%</f>
        <v>1030792151.04</v>
      </c>
      <c r="DA36" s="88"/>
      <c r="DB36" s="511"/>
      <c r="DC36" s="511"/>
      <c r="DD36" s="88"/>
      <c r="DE36" s="181"/>
      <c r="DF36" s="88"/>
      <c r="DG36" s="88"/>
      <c r="DH36" s="616">
        <f>DE47*DJ47</f>
        <v>10362325591.277946</v>
      </c>
      <c r="DI36" s="617" t="s">
        <v>778</v>
      </c>
      <c r="DJ36" s="88"/>
      <c r="DK36" s="88"/>
      <c r="DL36" s="88"/>
      <c r="DM36" s="88"/>
      <c r="DN36" s="332" t="s">
        <v>989</v>
      </c>
      <c r="DO36" s="953">
        <f>DO35+1</f>
        <v>2029</v>
      </c>
      <c r="DP36" s="691">
        <f>DP35+DR35</f>
        <v>104137608392786.44</v>
      </c>
      <c r="DQ36" s="894">
        <f>DQ35</f>
        <v>2.5000000000000001E-2</v>
      </c>
      <c r="DR36" s="691">
        <f>DP36*DQ36</f>
        <v>2603440209819.6611</v>
      </c>
      <c r="DT36" s="76"/>
      <c r="DU36" s="953">
        <f>DU35+1</f>
        <v>2029</v>
      </c>
      <c r="DV36" s="691">
        <f>DV20</f>
        <v>10737418.24</v>
      </c>
      <c r="DW36" s="987">
        <v>64</v>
      </c>
      <c r="DX36" s="875">
        <f>DW36*DV36</f>
        <v>687194767.36000001</v>
      </c>
      <c r="DY36" s="977"/>
      <c r="DZ36" s="977"/>
      <c r="EA36" s="691">
        <f>DX36*DY36</f>
        <v>0</v>
      </c>
      <c r="EC36" s="691">
        <f t="shared" si="7"/>
        <v>0</v>
      </c>
      <c r="ED36" s="691">
        <f>EC36+ED35-EH36</f>
        <v>10977936408.576</v>
      </c>
      <c r="EE36" s="894">
        <f t="shared" si="14"/>
        <v>0.125</v>
      </c>
      <c r="EF36" s="975">
        <f t="shared" si="11"/>
        <v>1372242051.072</v>
      </c>
      <c r="EG36" s="691">
        <f t="shared" si="13"/>
        <v>8361523322.01966</v>
      </c>
      <c r="EH36" s="183">
        <f>DX36*DZ36</f>
        <v>0</v>
      </c>
      <c r="EI36" s="949">
        <f t="shared" si="10"/>
        <v>2029</v>
      </c>
    </row>
    <row r="37" spans="1:139" x14ac:dyDescent="0.3">
      <c r="A37" s="690"/>
      <c r="B37" s="690"/>
      <c r="C37" s="1152">
        <f>C36*2</f>
        <v>64</v>
      </c>
      <c r="D37" s="897">
        <f>D36</f>
        <v>21474836.48</v>
      </c>
      <c r="E37" s="897">
        <f t="shared" ref="E37:E43" si="15">C37*D37</f>
        <v>1374389534.72</v>
      </c>
      <c r="F37" s="874"/>
      <c r="G37" s="903" t="s">
        <v>732</v>
      </c>
      <c r="CX37" s="38"/>
      <c r="CY37" s="1206" t="s">
        <v>1444</v>
      </c>
      <c r="CZ37" s="1207">
        <v>0</v>
      </c>
      <c r="DA37" s="88"/>
      <c r="DB37" s="511"/>
      <c r="DC37" s="511"/>
      <c r="DD37" s="88"/>
      <c r="DE37" s="181"/>
      <c r="DF37" s="88"/>
      <c r="DG37" s="88"/>
      <c r="DH37" s="616"/>
      <c r="DI37" s="617"/>
      <c r="DJ37" s="88"/>
      <c r="DK37" s="88"/>
      <c r="DL37" s="88"/>
      <c r="DM37" s="88"/>
      <c r="DN37" s="332" t="s">
        <v>989</v>
      </c>
      <c r="DO37" s="953">
        <f>DO36+1</f>
        <v>2030</v>
      </c>
      <c r="DP37" s="691">
        <f>DP36+DR36</f>
        <v>106741048602606.09</v>
      </c>
      <c r="DQ37" s="894">
        <f>DQ36</f>
        <v>2.5000000000000001E-2</v>
      </c>
      <c r="DR37" s="691">
        <f>DP37*DQ37</f>
        <v>2668526215065.1523</v>
      </c>
      <c r="DT37" s="76"/>
      <c r="DU37" s="953">
        <f>DU36+1</f>
        <v>2030</v>
      </c>
      <c r="DV37" s="691">
        <f>DV20</f>
        <v>10737418.24</v>
      </c>
      <c r="DW37" s="987">
        <v>64</v>
      </c>
      <c r="DX37" s="875">
        <f t="shared" ref="DX37:DX55" si="16">DW37*DV37</f>
        <v>687194767.36000001</v>
      </c>
      <c r="DY37" s="977"/>
      <c r="DZ37" s="977"/>
      <c r="EA37" s="691">
        <f t="shared" ref="EA37:EA55" si="17">DX37*DY37</f>
        <v>0</v>
      </c>
      <c r="EC37" s="691">
        <f t="shared" si="7"/>
        <v>0</v>
      </c>
      <c r="ED37" s="691">
        <f>EC37+ED36-EH37</f>
        <v>10977936408.576</v>
      </c>
      <c r="EE37" s="894">
        <f t="shared" si="14"/>
        <v>0.125</v>
      </c>
      <c r="EF37" s="975">
        <f t="shared" si="11"/>
        <v>1372242051.072</v>
      </c>
      <c r="EG37" s="691">
        <f t="shared" si="13"/>
        <v>8361523322.01966</v>
      </c>
      <c r="EH37" s="183">
        <f>DX37*DZ37</f>
        <v>0</v>
      </c>
      <c r="EI37" s="949">
        <f t="shared" si="10"/>
        <v>2030</v>
      </c>
    </row>
    <row r="38" spans="1:139" x14ac:dyDescent="0.3">
      <c r="A38" s="690"/>
      <c r="B38" s="690"/>
      <c r="C38" s="1121">
        <f>C37*2</f>
        <v>128</v>
      </c>
      <c r="D38" s="875">
        <f t="shared" ref="D38:D43" si="18">D37</f>
        <v>21474836.48</v>
      </c>
      <c r="E38" s="875">
        <f t="shared" si="15"/>
        <v>2748779069.4400001</v>
      </c>
      <c r="F38" s="410"/>
      <c r="G38" s="126" t="s">
        <v>732</v>
      </c>
      <c r="CU38" s="1162" t="s">
        <v>1435</v>
      </c>
      <c r="CV38" s="1160"/>
      <c r="CW38" s="1160"/>
      <c r="CX38" s="1160"/>
      <c r="CY38" s="1161" t="s">
        <v>1284</v>
      </c>
      <c r="CZ38" s="1164">
        <f>'POP Dimensions'!L16*600%</f>
        <v>2061584302.0799999</v>
      </c>
      <c r="DA38" s="88"/>
      <c r="DB38" s="88"/>
      <c r="DC38" s="253"/>
      <c r="DD38" s="88"/>
      <c r="DE38" s="181"/>
      <c r="DN38" s="332" t="s">
        <v>989</v>
      </c>
      <c r="DO38" s="953">
        <f>DO37+1</f>
        <v>2031</v>
      </c>
      <c r="DP38" s="691">
        <f>DP37+DR37</f>
        <v>109409574817671.25</v>
      </c>
      <c r="DQ38" s="894">
        <f>DQ37</f>
        <v>2.5000000000000001E-2</v>
      </c>
      <c r="DR38" s="691">
        <f>DP38*DQ38</f>
        <v>2735239370441.7813</v>
      </c>
      <c r="DT38" s="76"/>
      <c r="DU38" s="953">
        <f t="shared" ref="DU38:DU55" si="19">DU37+1</f>
        <v>2031</v>
      </c>
      <c r="DV38" s="691">
        <f>DV20</f>
        <v>10737418.24</v>
      </c>
      <c r="DW38" s="987">
        <v>64</v>
      </c>
      <c r="DX38" s="875">
        <f t="shared" si="16"/>
        <v>687194767.36000001</v>
      </c>
      <c r="DY38" s="977"/>
      <c r="DZ38" s="977"/>
      <c r="EA38" s="691">
        <f t="shared" si="17"/>
        <v>0</v>
      </c>
      <c r="EC38" s="691">
        <f t="shared" si="7"/>
        <v>0</v>
      </c>
      <c r="ED38" s="691">
        <f t="shared" ref="ED38:ED55" si="20">EC38+ED37-EH38</f>
        <v>10977936408.576</v>
      </c>
      <c r="EE38" s="894">
        <f t="shared" si="14"/>
        <v>0.125</v>
      </c>
      <c r="EF38" s="975">
        <f t="shared" si="11"/>
        <v>1372242051.072</v>
      </c>
      <c r="EG38" s="691">
        <f t="shared" si="13"/>
        <v>8361523322.01966</v>
      </c>
      <c r="EH38" s="183">
        <f t="shared" ref="EH38:EH55" si="21">DX38*DZ38</f>
        <v>0</v>
      </c>
      <c r="EI38" s="949">
        <f t="shared" si="10"/>
        <v>2031</v>
      </c>
    </row>
    <row r="39" spans="1:139" x14ac:dyDescent="0.3">
      <c r="A39" s="690"/>
      <c r="B39" s="690"/>
      <c r="C39" s="1151">
        <f>C38*2</f>
        <v>256</v>
      </c>
      <c r="D39" s="411">
        <f t="shared" si="18"/>
        <v>21474836.48</v>
      </c>
      <c r="E39" s="411">
        <f t="shared" si="15"/>
        <v>5497558138.8800001</v>
      </c>
      <c r="F39" s="896"/>
      <c r="G39" s="902" t="s">
        <v>732</v>
      </c>
      <c r="CU39" s="1163" t="s">
        <v>1436</v>
      </c>
      <c r="CY39" s="1155" t="s">
        <v>1279</v>
      </c>
      <c r="CZ39" s="1164">
        <v>-29500000000</v>
      </c>
      <c r="DA39" s="208">
        <v>0.05</v>
      </c>
      <c r="DB39" s="76">
        <f>CZ49*DA39</f>
        <v>29116113134.310211</v>
      </c>
      <c r="DC39" s="253" t="s">
        <v>1465</v>
      </c>
      <c r="DD39" s="88"/>
      <c r="DE39" s="181"/>
      <c r="DH39" s="616"/>
      <c r="DI39" s="617"/>
      <c r="DN39" s="332" t="s">
        <v>989</v>
      </c>
      <c r="DO39" s="953">
        <f>DO38+1</f>
        <v>2032</v>
      </c>
      <c r="DP39" s="691">
        <f>DP38+DR38</f>
        <v>112144814188113.03</v>
      </c>
      <c r="DQ39" s="894">
        <f>DQ38</f>
        <v>2.5000000000000001E-2</v>
      </c>
      <c r="DR39" s="691">
        <f>DP39*DQ39</f>
        <v>2803620354702.8262</v>
      </c>
      <c r="DS39" s="895" t="s">
        <v>1281</v>
      </c>
      <c r="DT39" s="76"/>
      <c r="DU39" s="953">
        <f t="shared" si="19"/>
        <v>2032</v>
      </c>
      <c r="DV39" s="691">
        <f t="shared" ref="DV39:DV55" si="22">DV29</f>
        <v>10737418.24</v>
      </c>
      <c r="DW39" s="987">
        <v>64</v>
      </c>
      <c r="DX39" s="875">
        <f t="shared" si="16"/>
        <v>687194767.36000001</v>
      </c>
      <c r="DY39" s="977"/>
      <c r="DZ39" s="977"/>
      <c r="EA39" s="691">
        <f t="shared" si="17"/>
        <v>0</v>
      </c>
      <c r="EC39" s="691">
        <f t="shared" si="7"/>
        <v>0</v>
      </c>
      <c r="ED39" s="691">
        <f t="shared" si="20"/>
        <v>10977936408.576</v>
      </c>
      <c r="EE39" s="894">
        <f t="shared" si="14"/>
        <v>0.125</v>
      </c>
      <c r="EF39" s="975">
        <f t="shared" si="11"/>
        <v>1372242051.072</v>
      </c>
      <c r="EG39" s="691">
        <f t="shared" si="13"/>
        <v>8361523322.01966</v>
      </c>
      <c r="EH39" s="183">
        <f t="shared" si="21"/>
        <v>0</v>
      </c>
      <c r="EI39" s="949">
        <f t="shared" si="10"/>
        <v>2032</v>
      </c>
    </row>
    <row r="40" spans="1:139" x14ac:dyDescent="0.3">
      <c r="A40" s="690"/>
      <c r="B40" s="690"/>
      <c r="C40" s="1152">
        <f t="shared" ref="C40:C43" si="23">C39*2</f>
        <v>512</v>
      </c>
      <c r="D40" s="897">
        <f t="shared" si="18"/>
        <v>21474836.48</v>
      </c>
      <c r="E40" s="897">
        <f t="shared" si="15"/>
        <v>10995116277.76</v>
      </c>
      <c r="F40" s="874"/>
      <c r="G40" s="903" t="s">
        <v>732</v>
      </c>
      <c r="CY40" s="1156" t="s">
        <v>1277</v>
      </c>
      <c r="CZ40" s="1164">
        <f>'POP Dimensions'!J17*2</f>
        <v>2748779069.4400001</v>
      </c>
      <c r="DA40" s="88"/>
      <c r="DB40" s="253"/>
      <c r="DC40" s="253"/>
      <c r="DD40" s="253"/>
      <c r="DE40" s="181"/>
      <c r="DH40" s="616"/>
      <c r="DI40" s="617"/>
      <c r="DN40" s="332" t="s">
        <v>989</v>
      </c>
      <c r="DO40" s="953">
        <f t="shared" ref="DO40:DO55" si="24">DO39+1</f>
        <v>2033</v>
      </c>
      <c r="DP40" s="691">
        <f t="shared" ref="DP40:DP55" si="25">DP39+DR39</f>
        <v>114948434542815.86</v>
      </c>
      <c r="DQ40" s="894">
        <f t="shared" ref="DQ40:DQ55" si="26">DQ39</f>
        <v>2.5000000000000001E-2</v>
      </c>
      <c r="DR40" s="691">
        <f t="shared" ref="DR40:DR55" si="27">DP40*DQ40</f>
        <v>2873710863570.3965</v>
      </c>
      <c r="DT40" s="76"/>
      <c r="DU40" s="953">
        <f t="shared" si="19"/>
        <v>2033</v>
      </c>
      <c r="DV40" s="691">
        <f t="shared" si="22"/>
        <v>10737418.24</v>
      </c>
      <c r="DW40" s="987">
        <v>64</v>
      </c>
      <c r="DX40" s="875">
        <f t="shared" si="16"/>
        <v>687194767.36000001</v>
      </c>
      <c r="DY40" s="969"/>
      <c r="DZ40" s="977"/>
      <c r="EA40" s="691">
        <f t="shared" si="17"/>
        <v>0</v>
      </c>
      <c r="EC40" s="691">
        <f t="shared" si="7"/>
        <v>0</v>
      </c>
      <c r="ED40" s="691">
        <f t="shared" si="20"/>
        <v>10977936408.576</v>
      </c>
      <c r="EE40" s="894">
        <f t="shared" si="14"/>
        <v>0.125</v>
      </c>
      <c r="EF40" s="975">
        <f t="shared" si="11"/>
        <v>1372242051.072</v>
      </c>
      <c r="EG40" s="691">
        <f t="shared" si="13"/>
        <v>8361523322.01966</v>
      </c>
      <c r="EH40" s="183">
        <f t="shared" si="21"/>
        <v>0</v>
      </c>
      <c r="EI40" s="949">
        <f t="shared" si="10"/>
        <v>2033</v>
      </c>
    </row>
    <row r="41" spans="1:139" x14ac:dyDescent="0.3">
      <c r="A41" s="690"/>
      <c r="B41" s="690"/>
      <c r="C41" s="1121">
        <f t="shared" si="23"/>
        <v>1024</v>
      </c>
      <c r="D41" s="875">
        <f t="shared" si="18"/>
        <v>21474836.48</v>
      </c>
      <c r="E41" s="875">
        <f t="shared" si="15"/>
        <v>21990232555.52</v>
      </c>
      <c r="F41" s="410"/>
      <c r="G41" s="126" t="s">
        <v>732</v>
      </c>
      <c r="CW41" s="173" t="s">
        <v>1433</v>
      </c>
      <c r="CX41" s="1158"/>
      <c r="CY41" s="1159" t="s">
        <v>1285</v>
      </c>
      <c r="CZ41" s="719">
        <f>'POP Dimensions'!H17*250%</f>
        <v>1717986918.4000001</v>
      </c>
      <c r="DA41" s="88"/>
      <c r="DB41" s="253"/>
      <c r="DC41" s="253"/>
      <c r="DD41" s="1215"/>
      <c r="DE41" s="181"/>
      <c r="DH41" s="12" t="s">
        <v>979</v>
      </c>
      <c r="DN41" s="332" t="s">
        <v>989</v>
      </c>
      <c r="DO41" s="953">
        <f t="shared" si="24"/>
        <v>2034</v>
      </c>
      <c r="DP41" s="691">
        <f t="shared" si="25"/>
        <v>117822145406386.25</v>
      </c>
      <c r="DQ41" s="894">
        <f t="shared" si="26"/>
        <v>2.5000000000000001E-2</v>
      </c>
      <c r="DR41" s="691">
        <f t="shared" si="27"/>
        <v>2945553635159.6563</v>
      </c>
      <c r="DT41" s="76"/>
      <c r="DU41" s="953">
        <f t="shared" si="19"/>
        <v>2034</v>
      </c>
      <c r="DV41" s="691">
        <f t="shared" si="22"/>
        <v>10737418.24</v>
      </c>
      <c r="DW41" s="987">
        <v>64</v>
      </c>
      <c r="DX41" s="875">
        <f t="shared" si="16"/>
        <v>687194767.36000001</v>
      </c>
      <c r="DY41" s="969"/>
      <c r="DZ41" s="977"/>
      <c r="EA41" s="691">
        <f t="shared" si="17"/>
        <v>0</v>
      </c>
      <c r="EC41" s="691">
        <f t="shared" si="7"/>
        <v>0</v>
      </c>
      <c r="ED41" s="691">
        <f t="shared" si="20"/>
        <v>10977936408.576</v>
      </c>
      <c r="EE41" s="894">
        <f t="shared" si="14"/>
        <v>0.125</v>
      </c>
      <c r="EF41" s="975">
        <f t="shared" si="11"/>
        <v>1372242051.072</v>
      </c>
      <c r="EG41" s="691">
        <f t="shared" si="13"/>
        <v>8361523322.01966</v>
      </c>
      <c r="EH41" s="183">
        <f t="shared" si="21"/>
        <v>0</v>
      </c>
      <c r="EI41" s="949">
        <f t="shared" si="10"/>
        <v>2034</v>
      </c>
    </row>
    <row r="42" spans="1:139" x14ac:dyDescent="0.3">
      <c r="A42" s="690"/>
      <c r="B42" s="690"/>
      <c r="C42" s="1153">
        <f t="shared" si="23"/>
        <v>2048</v>
      </c>
      <c r="D42" s="899">
        <f t="shared" si="18"/>
        <v>21474836.48</v>
      </c>
      <c r="E42" s="899">
        <f t="shared" si="15"/>
        <v>43980465111.040001</v>
      </c>
      <c r="F42" s="898"/>
      <c r="G42" s="905" t="s">
        <v>732</v>
      </c>
      <c r="CW42" s="618" t="s">
        <v>1434</v>
      </c>
      <c r="CY42" s="1155" t="s">
        <v>1278</v>
      </c>
      <c r="CZ42" s="1164">
        <f>'Network Cities'!S37*8</f>
        <v>23550000004</v>
      </c>
      <c r="DA42" s="88"/>
      <c r="DB42" s="253">
        <f>CZ49</f>
        <v>582322262686.20422</v>
      </c>
      <c r="DC42" s="253" t="s">
        <v>1494</v>
      </c>
      <c r="DD42" s="1215"/>
      <c r="DE42" s="181"/>
      <c r="DH42" s="12"/>
      <c r="DN42" s="332" t="s">
        <v>989</v>
      </c>
      <c r="DO42" s="953">
        <f t="shared" si="24"/>
        <v>2035</v>
      </c>
      <c r="DP42" s="691">
        <f t="shared" si="25"/>
        <v>120767699041545.91</v>
      </c>
      <c r="DQ42" s="894">
        <f t="shared" si="26"/>
        <v>2.5000000000000001E-2</v>
      </c>
      <c r="DR42" s="691">
        <f t="shared" si="27"/>
        <v>3019192476038.6479</v>
      </c>
      <c r="DT42" s="76"/>
      <c r="DU42" s="953">
        <f t="shared" si="19"/>
        <v>2035</v>
      </c>
      <c r="DV42" s="691">
        <f t="shared" si="22"/>
        <v>10737418.24</v>
      </c>
      <c r="DW42" s="987">
        <v>64</v>
      </c>
      <c r="DX42" s="875">
        <f t="shared" si="16"/>
        <v>687194767.36000001</v>
      </c>
      <c r="DY42" s="969"/>
      <c r="DZ42" s="977"/>
      <c r="EA42" s="691">
        <f t="shared" si="17"/>
        <v>0</v>
      </c>
      <c r="EC42" s="691">
        <f t="shared" si="7"/>
        <v>0</v>
      </c>
      <c r="ED42" s="691">
        <f t="shared" si="20"/>
        <v>10977936408.576</v>
      </c>
      <c r="EE42" s="894">
        <f t="shared" si="14"/>
        <v>0.125</v>
      </c>
      <c r="EF42" s="975">
        <f t="shared" si="11"/>
        <v>1372242051.072</v>
      </c>
      <c r="EG42" s="691">
        <f t="shared" si="13"/>
        <v>8361523322.01966</v>
      </c>
      <c r="EH42" s="183">
        <f t="shared" si="21"/>
        <v>0</v>
      </c>
      <c r="EI42" s="949">
        <f t="shared" si="10"/>
        <v>2035</v>
      </c>
    </row>
    <row r="43" spans="1:139" x14ac:dyDescent="0.3">
      <c r="A43" s="690"/>
      <c r="B43" s="690"/>
      <c r="C43" s="1154">
        <f t="shared" si="23"/>
        <v>4096</v>
      </c>
      <c r="D43" s="906">
        <f t="shared" si="18"/>
        <v>21474836.48</v>
      </c>
      <c r="E43" s="906">
        <f t="shared" si="15"/>
        <v>87960930222.080002</v>
      </c>
      <c r="F43" s="907"/>
      <c r="G43" s="908" t="s">
        <v>732</v>
      </c>
      <c r="CY43" s="1155" t="s">
        <v>1161</v>
      </c>
      <c r="CZ43" s="1164">
        <f>'POP Dimensions'!H17*300%</f>
        <v>2061584302.0799999</v>
      </c>
      <c r="DA43" s="88"/>
      <c r="DB43" s="748">
        <f>DP46</f>
        <v>133304942973178.83</v>
      </c>
      <c r="DC43" s="253" t="s">
        <v>1493</v>
      </c>
      <c r="DD43" s="253"/>
      <c r="DE43" s="181"/>
      <c r="DH43" s="12"/>
      <c r="DN43" s="332" t="s">
        <v>989</v>
      </c>
      <c r="DO43" s="953">
        <f t="shared" si="24"/>
        <v>2036</v>
      </c>
      <c r="DP43" s="691">
        <f t="shared" si="25"/>
        <v>123786891517584.55</v>
      </c>
      <c r="DQ43" s="894">
        <f t="shared" si="26"/>
        <v>2.5000000000000001E-2</v>
      </c>
      <c r="DR43" s="691">
        <f t="shared" si="27"/>
        <v>3094672287939.6138</v>
      </c>
      <c r="DT43" s="76"/>
      <c r="DU43" s="953">
        <f t="shared" si="19"/>
        <v>2036</v>
      </c>
      <c r="DV43" s="691">
        <f t="shared" si="22"/>
        <v>10737418.24</v>
      </c>
      <c r="DW43" s="987">
        <v>64</v>
      </c>
      <c r="DX43" s="875">
        <f t="shared" si="16"/>
        <v>687194767.36000001</v>
      </c>
      <c r="DY43" s="969"/>
      <c r="DZ43" s="977"/>
      <c r="EA43" s="691">
        <f t="shared" si="17"/>
        <v>0</v>
      </c>
      <c r="EC43" s="691">
        <f t="shared" si="7"/>
        <v>0</v>
      </c>
      <c r="ED43" s="691">
        <f t="shared" si="20"/>
        <v>10977936408.576</v>
      </c>
      <c r="EE43" s="894">
        <f t="shared" si="14"/>
        <v>0.125</v>
      </c>
      <c r="EF43" s="975">
        <f t="shared" si="11"/>
        <v>1372242051.072</v>
      </c>
      <c r="EG43" s="691">
        <f t="shared" si="13"/>
        <v>8361523322.01966</v>
      </c>
      <c r="EH43" s="183">
        <f t="shared" si="21"/>
        <v>0</v>
      </c>
      <c r="EI43" s="949">
        <f t="shared" si="10"/>
        <v>2036</v>
      </c>
    </row>
    <row r="44" spans="1:139" x14ac:dyDescent="0.3">
      <c r="A44" s="690"/>
      <c r="B44" s="690"/>
      <c r="CW44" s="1162" t="s">
        <v>1433</v>
      </c>
      <c r="CX44" s="1160"/>
      <c r="CY44" s="1161" t="s">
        <v>1249</v>
      </c>
      <c r="CZ44" s="1164">
        <f>'POP Dimensions'!J17*300%</f>
        <v>4123168604.1599998</v>
      </c>
      <c r="DA44" s="88"/>
      <c r="DB44" s="1264">
        <f>DB42/DB43</f>
        <v>4.3683471122550081E-3</v>
      </c>
      <c r="DC44" s="254" t="s">
        <v>1495</v>
      </c>
      <c r="DD44" s="253"/>
      <c r="DE44" s="181"/>
      <c r="DH44" s="12"/>
      <c r="DN44" s="332" t="s">
        <v>989</v>
      </c>
      <c r="DO44" s="953">
        <f t="shared" si="24"/>
        <v>2037</v>
      </c>
      <c r="DP44" s="691">
        <f t="shared" si="25"/>
        <v>126881563805524.16</v>
      </c>
      <c r="DQ44" s="894">
        <f t="shared" si="26"/>
        <v>2.5000000000000001E-2</v>
      </c>
      <c r="DR44" s="691">
        <f t="shared" si="27"/>
        <v>3172039095138.104</v>
      </c>
      <c r="DT44" s="76"/>
      <c r="DU44" s="953">
        <f t="shared" si="19"/>
        <v>2037</v>
      </c>
      <c r="DV44" s="691">
        <f t="shared" si="22"/>
        <v>10737418.24</v>
      </c>
      <c r="DW44" s="987">
        <v>64</v>
      </c>
      <c r="DX44" s="875">
        <f t="shared" si="16"/>
        <v>687194767.36000001</v>
      </c>
      <c r="DY44" s="969"/>
      <c r="DZ44" s="977"/>
      <c r="EA44" s="691">
        <f t="shared" si="17"/>
        <v>0</v>
      </c>
      <c r="EC44" s="691">
        <f t="shared" si="7"/>
        <v>0</v>
      </c>
      <c r="ED44" s="691">
        <f t="shared" si="20"/>
        <v>10977936408.576</v>
      </c>
      <c r="EE44" s="894">
        <f t="shared" si="14"/>
        <v>0.125</v>
      </c>
      <c r="EF44" s="975">
        <f t="shared" si="11"/>
        <v>1372242051.072</v>
      </c>
      <c r="EG44" s="691">
        <f t="shared" si="13"/>
        <v>8361523322.01966</v>
      </c>
      <c r="EH44" s="183">
        <f t="shared" si="21"/>
        <v>0</v>
      </c>
      <c r="EI44" s="949">
        <f t="shared" si="10"/>
        <v>2037</v>
      </c>
    </row>
    <row r="45" spans="1:139" x14ac:dyDescent="0.3">
      <c r="A45" s="690"/>
      <c r="B45" s="690"/>
      <c r="CW45" s="1163" t="s">
        <v>1437</v>
      </c>
      <c r="CY45" s="1157" t="s">
        <v>148</v>
      </c>
      <c r="CZ45" s="1164">
        <v>0</v>
      </c>
      <c r="DA45" s="88"/>
      <c r="DB45" s="254"/>
      <c r="DC45" s="254"/>
      <c r="DD45" s="253"/>
      <c r="DE45" s="181"/>
      <c r="DH45" s="12"/>
      <c r="DN45" s="332" t="s">
        <v>989</v>
      </c>
      <c r="DO45" s="953">
        <f t="shared" si="24"/>
        <v>2038</v>
      </c>
      <c r="DP45" s="691">
        <f t="shared" si="25"/>
        <v>130053602900662.27</v>
      </c>
      <c r="DQ45" s="894">
        <f t="shared" si="26"/>
        <v>2.5000000000000001E-2</v>
      </c>
      <c r="DR45" s="691">
        <f t="shared" si="27"/>
        <v>3251340072516.5566</v>
      </c>
      <c r="DT45" s="76"/>
      <c r="DU45" s="953">
        <f t="shared" si="19"/>
        <v>2038</v>
      </c>
      <c r="DV45" s="691">
        <f t="shared" si="22"/>
        <v>10737418.24</v>
      </c>
      <c r="DW45" s="987">
        <v>64</v>
      </c>
      <c r="DX45" s="875">
        <f t="shared" si="16"/>
        <v>687194767.36000001</v>
      </c>
      <c r="DY45" s="969"/>
      <c r="DZ45" s="977"/>
      <c r="EA45" s="691">
        <f t="shared" si="17"/>
        <v>0</v>
      </c>
      <c r="EC45" s="691">
        <f t="shared" si="7"/>
        <v>0</v>
      </c>
      <c r="ED45" s="691">
        <f t="shared" si="20"/>
        <v>10977936408.576</v>
      </c>
      <c r="EE45" s="894">
        <f t="shared" si="14"/>
        <v>0.125</v>
      </c>
      <c r="EF45" s="975">
        <f t="shared" si="11"/>
        <v>1372242051.072</v>
      </c>
      <c r="EG45" s="691">
        <f t="shared" si="13"/>
        <v>8361523322.01966</v>
      </c>
      <c r="EH45" s="183">
        <f t="shared" si="21"/>
        <v>0</v>
      </c>
      <c r="EI45" s="949">
        <f t="shared" si="10"/>
        <v>2038</v>
      </c>
    </row>
    <row r="46" spans="1:139" x14ac:dyDescent="0.3">
      <c r="A46" s="690"/>
      <c r="B46" s="690"/>
      <c r="CY46" s="1150" t="s">
        <v>948</v>
      </c>
      <c r="CZ46" s="1216">
        <f>'2038 - ŔÉŚ 15. Increase in Ŕ'!DF29</f>
        <v>28825575597.788696</v>
      </c>
      <c r="DA46" s="88"/>
      <c r="DB46" s="253"/>
      <c r="DC46" s="253"/>
      <c r="DD46" s="253"/>
      <c r="DE46" s="181" t="s">
        <v>805</v>
      </c>
      <c r="DF46" s="1" t="s">
        <v>998</v>
      </c>
      <c r="DH46" s="19">
        <v>0.01</v>
      </c>
      <c r="DN46" s="332" t="s">
        <v>989</v>
      </c>
      <c r="DO46" s="953">
        <f t="shared" si="24"/>
        <v>2039</v>
      </c>
      <c r="DP46" s="691">
        <f t="shared" si="25"/>
        <v>133304942973178.83</v>
      </c>
      <c r="DQ46" s="894">
        <f t="shared" si="26"/>
        <v>2.5000000000000001E-2</v>
      </c>
      <c r="DR46" s="691">
        <f t="shared" si="27"/>
        <v>3332623574329.4707</v>
      </c>
      <c r="DT46" s="76"/>
      <c r="DU46" s="953">
        <f t="shared" si="19"/>
        <v>2039</v>
      </c>
      <c r="DV46" s="691">
        <f t="shared" si="22"/>
        <v>10737418.24</v>
      </c>
      <c r="DW46" s="987">
        <v>64</v>
      </c>
      <c r="DX46" s="875">
        <f t="shared" si="16"/>
        <v>687194767.36000001</v>
      </c>
      <c r="DY46" s="969"/>
      <c r="DZ46" s="977"/>
      <c r="EA46" s="691">
        <f t="shared" si="17"/>
        <v>0</v>
      </c>
      <c r="EC46" s="691">
        <f t="shared" si="7"/>
        <v>0</v>
      </c>
      <c r="ED46" s="691">
        <f t="shared" si="20"/>
        <v>10977936408.576</v>
      </c>
      <c r="EE46" s="894">
        <f t="shared" si="14"/>
        <v>0.125</v>
      </c>
      <c r="EF46" s="975">
        <f t="shared" si="11"/>
        <v>1372242051.072</v>
      </c>
      <c r="EG46" s="691">
        <f t="shared" si="13"/>
        <v>8361523322.01966</v>
      </c>
      <c r="EH46" s="183">
        <f t="shared" si="21"/>
        <v>0</v>
      </c>
      <c r="EI46" s="949">
        <f t="shared" si="10"/>
        <v>2039</v>
      </c>
    </row>
    <row r="47" spans="1:139" x14ac:dyDescent="0.3">
      <c r="K47" s="690"/>
      <c r="CY47" s="122" t="s">
        <v>1385</v>
      </c>
      <c r="CZ47" s="183">
        <f>SUM(CZ35:CZ46)</f>
        <v>36619470948.988693</v>
      </c>
      <c r="DA47" s="251"/>
      <c r="DB47" s="76" t="s">
        <v>805</v>
      </c>
      <c r="DC47" s="691">
        <f>AE82</f>
        <v>6630548568.2489748</v>
      </c>
      <c r="DD47" s="76"/>
      <c r="DE47" s="691">
        <f>DC47</f>
        <v>6630548568.2489748</v>
      </c>
      <c r="DF47" s="691">
        <f>DP31</f>
        <v>92042471679365.094</v>
      </c>
      <c r="DG47" s="76"/>
      <c r="DH47" s="736">
        <f>DF47*DH46</f>
        <v>920424716793.651</v>
      </c>
      <c r="DI47" s="76"/>
      <c r="DJ47" s="208">
        <f>DH47/DE60</f>
        <v>1.5628157285354862</v>
      </c>
      <c r="DK47" s="76"/>
      <c r="DL47" s="76"/>
      <c r="DM47" s="76"/>
      <c r="DN47" s="332" t="s">
        <v>989</v>
      </c>
      <c r="DO47" s="953">
        <f t="shared" si="24"/>
        <v>2040</v>
      </c>
      <c r="DP47" s="691">
        <f t="shared" si="25"/>
        <v>136637566547508.3</v>
      </c>
      <c r="DQ47" s="894">
        <f t="shared" si="26"/>
        <v>2.5000000000000001E-2</v>
      </c>
      <c r="DR47" s="691">
        <f t="shared" si="27"/>
        <v>3415939163687.7075</v>
      </c>
      <c r="DT47" s="76"/>
      <c r="DU47" s="953">
        <f t="shared" si="19"/>
        <v>2040</v>
      </c>
      <c r="DV47" s="691">
        <f t="shared" si="22"/>
        <v>10737418.24</v>
      </c>
      <c r="DW47" s="987">
        <v>64</v>
      </c>
      <c r="DX47" s="875">
        <f t="shared" si="16"/>
        <v>687194767.36000001</v>
      </c>
      <c r="DY47" s="969"/>
      <c r="DZ47" s="977"/>
      <c r="EA47" s="691">
        <f t="shared" si="17"/>
        <v>0</v>
      </c>
      <c r="EC47" s="691">
        <f t="shared" si="7"/>
        <v>0</v>
      </c>
      <c r="ED47" s="691">
        <f t="shared" si="20"/>
        <v>10977936408.576</v>
      </c>
      <c r="EE47" s="894">
        <f t="shared" si="14"/>
        <v>0.125</v>
      </c>
      <c r="EF47" s="975">
        <f t="shared" si="11"/>
        <v>1372242051.072</v>
      </c>
      <c r="EG47" s="691">
        <f t="shared" si="13"/>
        <v>8361523322.01966</v>
      </c>
      <c r="EH47" s="183">
        <f t="shared" si="21"/>
        <v>0</v>
      </c>
      <c r="EI47" s="949">
        <f t="shared" si="10"/>
        <v>2040</v>
      </c>
    </row>
    <row r="48" spans="1:139" ht="16.2" thickBot="1" x14ac:dyDescent="0.35">
      <c r="CY48" s="1150" t="s">
        <v>309</v>
      </c>
      <c r="CZ48" s="182">
        <f>CZ47*CZ34</f>
        <v>880132797313.00598</v>
      </c>
      <c r="DD48" s="565" t="s">
        <v>894</v>
      </c>
      <c r="DE48" s="208">
        <f>DE32/DE47</f>
        <v>87.824145572918482</v>
      </c>
      <c r="DF48" s="367"/>
      <c r="DH48" s="192">
        <f>DE60</f>
        <v>588952811254.45325</v>
      </c>
      <c r="DI48" s="193"/>
      <c r="DJ48" s="1" t="s">
        <v>1339</v>
      </c>
      <c r="DN48" s="332" t="s">
        <v>989</v>
      </c>
      <c r="DO48" s="953">
        <f t="shared" si="24"/>
        <v>2041</v>
      </c>
      <c r="DP48" s="691">
        <f t="shared" si="25"/>
        <v>140053505711196</v>
      </c>
      <c r="DQ48" s="894">
        <f t="shared" si="26"/>
        <v>2.5000000000000001E-2</v>
      </c>
      <c r="DR48" s="691">
        <f t="shared" si="27"/>
        <v>3501337642779.9004</v>
      </c>
      <c r="DT48" s="76"/>
      <c r="DU48" s="953">
        <f t="shared" si="19"/>
        <v>2041</v>
      </c>
      <c r="DV48" s="691">
        <f t="shared" si="22"/>
        <v>10737418.24</v>
      </c>
      <c r="DW48" s="987">
        <v>64</v>
      </c>
      <c r="DX48" s="875">
        <f t="shared" si="16"/>
        <v>687194767.36000001</v>
      </c>
      <c r="DY48" s="969"/>
      <c r="DZ48" s="977"/>
      <c r="EA48" s="691">
        <f t="shared" si="17"/>
        <v>0</v>
      </c>
      <c r="EC48" s="691">
        <f t="shared" si="7"/>
        <v>0</v>
      </c>
      <c r="ED48" s="691">
        <f t="shared" si="20"/>
        <v>10977936408.576</v>
      </c>
      <c r="EE48" s="894">
        <f t="shared" si="14"/>
        <v>0.125</v>
      </c>
      <c r="EF48" s="975">
        <f t="shared" si="11"/>
        <v>1372242051.072</v>
      </c>
      <c r="EG48" s="691">
        <f t="shared" si="13"/>
        <v>8361523322.01966</v>
      </c>
      <c r="EH48" s="183">
        <f t="shared" si="21"/>
        <v>0</v>
      </c>
      <c r="EI48" s="949">
        <f t="shared" si="10"/>
        <v>2041</v>
      </c>
    </row>
    <row r="49" spans="3:139" ht="16.2" thickBot="1" x14ac:dyDescent="0.35">
      <c r="C49" s="1" t="s">
        <v>801</v>
      </c>
      <c r="CY49" s="1150" t="s">
        <v>308</v>
      </c>
      <c r="CZ49" s="182">
        <f>CZ48*DA49</f>
        <v>582322262686.20422</v>
      </c>
      <c r="DA49" s="680">
        <v>0.66163000000000005</v>
      </c>
      <c r="DB49" s="1" t="s">
        <v>1496</v>
      </c>
      <c r="DD49" s="565" t="s">
        <v>888</v>
      </c>
      <c r="DE49" s="953">
        <v>8</v>
      </c>
      <c r="DF49" s="1" t="s">
        <v>889</v>
      </c>
      <c r="DJ49" s="1" t="s">
        <v>1340</v>
      </c>
      <c r="DN49" s="332" t="s">
        <v>989</v>
      </c>
      <c r="DO49" s="953">
        <f t="shared" si="24"/>
        <v>2042</v>
      </c>
      <c r="DP49" s="691">
        <f t="shared" si="25"/>
        <v>143554843353975.91</v>
      </c>
      <c r="DQ49" s="894">
        <f t="shared" si="26"/>
        <v>2.5000000000000001E-2</v>
      </c>
      <c r="DR49" s="691">
        <f t="shared" si="27"/>
        <v>3588871083849.3979</v>
      </c>
      <c r="DT49" s="76"/>
      <c r="DU49" s="953">
        <f t="shared" si="19"/>
        <v>2042</v>
      </c>
      <c r="DV49" s="691">
        <f t="shared" si="22"/>
        <v>10737418.24</v>
      </c>
      <c r="DW49" s="987">
        <v>64</v>
      </c>
      <c r="DX49" s="875">
        <f t="shared" si="16"/>
        <v>687194767.36000001</v>
      </c>
      <c r="DY49" s="969"/>
      <c r="DZ49" s="977"/>
      <c r="EA49" s="691">
        <f t="shared" si="17"/>
        <v>0</v>
      </c>
      <c r="EC49" s="691">
        <f t="shared" si="7"/>
        <v>0</v>
      </c>
      <c r="ED49" s="691">
        <f t="shared" si="20"/>
        <v>10977936408.576</v>
      </c>
      <c r="EE49" s="894">
        <f t="shared" si="14"/>
        <v>0.125</v>
      </c>
      <c r="EF49" s="975">
        <f t="shared" si="11"/>
        <v>1372242051.072</v>
      </c>
      <c r="EG49" s="691">
        <f t="shared" si="13"/>
        <v>8361523322.01966</v>
      </c>
      <c r="EH49" s="183">
        <f t="shared" si="21"/>
        <v>0</v>
      </c>
      <c r="EI49" s="949">
        <f t="shared" si="10"/>
        <v>2042</v>
      </c>
    </row>
    <row r="50" spans="3:139" x14ac:dyDescent="0.3">
      <c r="C50" s="13"/>
      <c r="D50" s="4"/>
      <c r="E50" s="120" t="s">
        <v>275</v>
      </c>
      <c r="F50" s="4"/>
      <c r="G50" s="173" t="s">
        <v>288</v>
      </c>
      <c r="H50" s="462" t="s">
        <v>1367</v>
      </c>
      <c r="I50" s="170" t="s">
        <v>1373</v>
      </c>
      <c r="J50" s="175" t="s">
        <v>297</v>
      </c>
      <c r="K50" s="170" t="s">
        <v>802</v>
      </c>
      <c r="CZ50" s="239"/>
      <c r="DB50" s="1" t="s">
        <v>1276</v>
      </c>
      <c r="DD50" s="565" t="s">
        <v>890</v>
      </c>
      <c r="DE50" s="208">
        <f>DE48/DE49</f>
        <v>10.97801819661481</v>
      </c>
      <c r="DN50" s="332" t="s">
        <v>989</v>
      </c>
      <c r="DO50" s="953">
        <f t="shared" si="24"/>
        <v>2043</v>
      </c>
      <c r="DP50" s="691">
        <f t="shared" si="25"/>
        <v>147143714437825.31</v>
      </c>
      <c r="DQ50" s="894">
        <f t="shared" si="26"/>
        <v>2.5000000000000001E-2</v>
      </c>
      <c r="DR50" s="691">
        <f t="shared" si="27"/>
        <v>3678592860945.6328</v>
      </c>
      <c r="DT50" s="76"/>
      <c r="DU50" s="953">
        <f t="shared" si="19"/>
        <v>2043</v>
      </c>
      <c r="DV50" s="691">
        <f t="shared" si="22"/>
        <v>10737418.24</v>
      </c>
      <c r="DW50" s="987">
        <v>64</v>
      </c>
      <c r="DX50" s="875">
        <f t="shared" si="16"/>
        <v>687194767.36000001</v>
      </c>
      <c r="DY50" s="969"/>
      <c r="DZ50" s="977"/>
      <c r="EA50" s="691">
        <f t="shared" si="17"/>
        <v>0</v>
      </c>
      <c r="EC50" s="691">
        <f t="shared" si="7"/>
        <v>0</v>
      </c>
      <c r="ED50" s="691">
        <f t="shared" si="20"/>
        <v>10977936408.576</v>
      </c>
      <c r="EE50" s="894">
        <f t="shared" si="14"/>
        <v>0.125</v>
      </c>
      <c r="EF50" s="975">
        <f t="shared" si="11"/>
        <v>1372242051.072</v>
      </c>
      <c r="EG50" s="691">
        <f t="shared" si="13"/>
        <v>8361523322.01966</v>
      </c>
      <c r="EH50" s="183">
        <f t="shared" si="21"/>
        <v>0</v>
      </c>
      <c r="EI50" s="949">
        <f t="shared" si="10"/>
        <v>2043</v>
      </c>
    </row>
    <row r="51" spans="3:139" x14ac:dyDescent="0.3">
      <c r="C51" s="122"/>
      <c r="D51" s="7"/>
      <c r="E51" s="875">
        <f>E8</f>
        <v>36619470948.988693</v>
      </c>
      <c r="F51" s="7"/>
      <c r="G51" s="468" t="s">
        <v>1386</v>
      </c>
      <c r="H51" s="469"/>
      <c r="I51" s="470"/>
      <c r="J51" s="471"/>
      <c r="K51" s="470"/>
      <c r="CZ51" s="277" t="s">
        <v>748</v>
      </c>
      <c r="DD51" s="239"/>
      <c r="DE51" s="76"/>
      <c r="DN51" s="332" t="s">
        <v>989</v>
      </c>
      <c r="DO51" s="953">
        <f t="shared" si="24"/>
        <v>2044</v>
      </c>
      <c r="DP51" s="691">
        <f t="shared" si="25"/>
        <v>150822307298770.94</v>
      </c>
      <c r="DQ51" s="894">
        <f t="shared" si="26"/>
        <v>2.5000000000000001E-2</v>
      </c>
      <c r="DR51" s="691">
        <f t="shared" si="27"/>
        <v>3770557682469.2734</v>
      </c>
      <c r="DT51" s="76"/>
      <c r="DU51" s="953">
        <f t="shared" si="19"/>
        <v>2044</v>
      </c>
      <c r="DV51" s="691">
        <f t="shared" si="22"/>
        <v>10737418.24</v>
      </c>
      <c r="DW51" s="987">
        <v>64</v>
      </c>
      <c r="DX51" s="875">
        <f t="shared" si="16"/>
        <v>687194767.36000001</v>
      </c>
      <c r="DY51" s="969"/>
      <c r="DZ51" s="977"/>
      <c r="EA51" s="691">
        <f t="shared" si="17"/>
        <v>0</v>
      </c>
      <c r="EC51" s="691">
        <f t="shared" si="7"/>
        <v>0</v>
      </c>
      <c r="ED51" s="691">
        <f t="shared" si="20"/>
        <v>10977936408.576</v>
      </c>
      <c r="EE51" s="894">
        <f t="shared" si="14"/>
        <v>0.125</v>
      </c>
      <c r="EF51" s="975">
        <f t="shared" si="11"/>
        <v>1372242051.072</v>
      </c>
      <c r="EG51" s="691">
        <f t="shared" si="13"/>
        <v>8361523322.01966</v>
      </c>
      <c r="EH51" s="183">
        <f t="shared" si="21"/>
        <v>0</v>
      </c>
      <c r="EI51" s="949">
        <f t="shared" si="10"/>
        <v>2044</v>
      </c>
    </row>
    <row r="52" spans="3:139" ht="16.2" thickBot="1" x14ac:dyDescent="0.35">
      <c r="C52" s="122"/>
      <c r="D52" s="7"/>
      <c r="E52" s="7"/>
      <c r="F52" s="127"/>
      <c r="G52" s="127" t="s">
        <v>280</v>
      </c>
      <c r="H52" s="7"/>
      <c r="I52" s="459" t="s">
        <v>282</v>
      </c>
      <c r="J52" s="122"/>
      <c r="K52" s="8"/>
      <c r="CZ52" s="277" t="s">
        <v>747</v>
      </c>
      <c r="DB52" s="110" t="s">
        <v>746</v>
      </c>
      <c r="DD52" s="565" t="s">
        <v>891</v>
      </c>
      <c r="DE52" s="76"/>
      <c r="DN52" s="332" t="s">
        <v>989</v>
      </c>
      <c r="DO52" s="953">
        <f t="shared" si="24"/>
        <v>2045</v>
      </c>
      <c r="DP52" s="691">
        <f t="shared" si="25"/>
        <v>154592864981240.22</v>
      </c>
      <c r="DQ52" s="894">
        <f t="shared" si="26"/>
        <v>2.5000000000000001E-2</v>
      </c>
      <c r="DR52" s="691">
        <f t="shared" si="27"/>
        <v>3864821624531.0059</v>
      </c>
      <c r="DT52" s="76"/>
      <c r="DU52" s="953">
        <f t="shared" si="19"/>
        <v>2045</v>
      </c>
      <c r="DV52" s="691">
        <f t="shared" si="22"/>
        <v>10737418.24</v>
      </c>
      <c r="DW52" s="987">
        <v>64</v>
      </c>
      <c r="DX52" s="875">
        <f t="shared" si="16"/>
        <v>687194767.36000001</v>
      </c>
      <c r="DY52" s="969"/>
      <c r="DZ52" s="977"/>
      <c r="EA52" s="691">
        <f t="shared" si="17"/>
        <v>0</v>
      </c>
      <c r="EC52" s="691">
        <f t="shared" si="7"/>
        <v>0</v>
      </c>
      <c r="ED52" s="691">
        <f t="shared" si="20"/>
        <v>10977936408.576</v>
      </c>
      <c r="EE52" s="894">
        <f t="shared" si="14"/>
        <v>0.125</v>
      </c>
      <c r="EF52" s="975">
        <f t="shared" si="11"/>
        <v>1372242051.072</v>
      </c>
      <c r="EG52" s="691">
        <f t="shared" si="13"/>
        <v>8361523322.01966</v>
      </c>
      <c r="EH52" s="183">
        <f t="shared" si="21"/>
        <v>0</v>
      </c>
      <c r="EI52" s="949">
        <f t="shared" si="10"/>
        <v>2045</v>
      </c>
    </row>
    <row r="53" spans="3:139" ht="16.2" thickBot="1" x14ac:dyDescent="0.35">
      <c r="C53" s="122"/>
      <c r="D53" s="7"/>
      <c r="E53" s="7"/>
      <c r="F53" s="129">
        <v>0.25</v>
      </c>
      <c r="G53" s="130">
        <f>E57*F53</f>
        <v>508797328.29557794</v>
      </c>
      <c r="H53" s="460">
        <v>0.5</v>
      </c>
      <c r="I53" s="130">
        <f>G53*H53</f>
        <v>254398664.14778897</v>
      </c>
      <c r="J53" s="460">
        <v>0</v>
      </c>
      <c r="K53" s="458">
        <f>I53*J53</f>
        <v>0</v>
      </c>
      <c r="CX53" s="933">
        <f>DA53</f>
        <v>2048</v>
      </c>
      <c r="CY53" s="927" t="s">
        <v>745</v>
      </c>
      <c r="CZ53" s="578">
        <f>DB53*DA53</f>
        <v>43980465111.040001</v>
      </c>
      <c r="DA53" s="934">
        <v>2048</v>
      </c>
      <c r="DB53" s="578">
        <f>'POP Dimensions'!J15</f>
        <v>21474836.48</v>
      </c>
      <c r="DC53" s="239"/>
      <c r="DD53" s="565" t="s">
        <v>901</v>
      </c>
      <c r="DE53" s="484">
        <v>0.17</v>
      </c>
      <c r="DF53" s="1" t="s">
        <v>895</v>
      </c>
      <c r="DN53" s="332" t="s">
        <v>989</v>
      </c>
      <c r="DO53" s="953">
        <f t="shared" si="24"/>
        <v>2046</v>
      </c>
      <c r="DP53" s="691">
        <f t="shared" si="25"/>
        <v>158457686605771.22</v>
      </c>
      <c r="DQ53" s="894">
        <f t="shared" si="26"/>
        <v>2.5000000000000001E-2</v>
      </c>
      <c r="DR53" s="691">
        <f t="shared" si="27"/>
        <v>3961442165144.2808</v>
      </c>
      <c r="DT53" s="76"/>
      <c r="DU53" s="953">
        <f t="shared" si="19"/>
        <v>2046</v>
      </c>
      <c r="DV53" s="691">
        <f t="shared" si="22"/>
        <v>10737418.24</v>
      </c>
      <c r="DW53" s="987">
        <v>64</v>
      </c>
      <c r="DX53" s="875">
        <f t="shared" si="16"/>
        <v>687194767.36000001</v>
      </c>
      <c r="DY53" s="969"/>
      <c r="DZ53" s="977"/>
      <c r="EA53" s="691">
        <f t="shared" si="17"/>
        <v>0</v>
      </c>
      <c r="EC53" s="691">
        <f t="shared" si="7"/>
        <v>0</v>
      </c>
      <c r="ED53" s="691">
        <f t="shared" si="20"/>
        <v>10977936408.576</v>
      </c>
      <c r="EE53" s="894">
        <f t="shared" si="14"/>
        <v>0.125</v>
      </c>
      <c r="EF53" s="975">
        <f t="shared" si="11"/>
        <v>1372242051.072</v>
      </c>
      <c r="EG53" s="691">
        <f t="shared" si="13"/>
        <v>8361523322.01966</v>
      </c>
      <c r="EH53" s="183">
        <f t="shared" si="21"/>
        <v>0</v>
      </c>
      <c r="EI53" s="949">
        <f t="shared" si="10"/>
        <v>2046</v>
      </c>
    </row>
    <row r="54" spans="3:139" ht="16.2" thickBot="1" x14ac:dyDescent="0.35">
      <c r="C54" s="122"/>
      <c r="D54" s="7"/>
      <c r="E54" s="7"/>
      <c r="F54" s="133"/>
      <c r="G54" s="134" t="s">
        <v>290</v>
      </c>
      <c r="H54" s="7"/>
      <c r="I54" s="457" t="s">
        <v>283</v>
      </c>
      <c r="J54" s="122"/>
      <c r="K54" s="8"/>
      <c r="CX54" s="927"/>
      <c r="CZ54" s="999" t="s">
        <v>1355</v>
      </c>
      <c r="DA54" s="254"/>
      <c r="DB54" s="248" t="s">
        <v>1290</v>
      </c>
      <c r="DD54" s="566"/>
      <c r="DE54" s="76"/>
      <c r="DN54" s="332" t="s">
        <v>989</v>
      </c>
      <c r="DO54" s="953">
        <f t="shared" si="24"/>
        <v>2047</v>
      </c>
      <c r="DP54" s="691">
        <f t="shared" si="25"/>
        <v>162419128770915.5</v>
      </c>
      <c r="DQ54" s="894">
        <f t="shared" si="26"/>
        <v>2.5000000000000001E-2</v>
      </c>
      <c r="DR54" s="691">
        <f t="shared" si="27"/>
        <v>4060478219272.8877</v>
      </c>
      <c r="DT54" s="76"/>
      <c r="DU54" s="953">
        <f t="shared" si="19"/>
        <v>2047</v>
      </c>
      <c r="DV54" s="691">
        <f t="shared" si="22"/>
        <v>10737418.24</v>
      </c>
      <c r="DW54" s="987">
        <v>64</v>
      </c>
      <c r="DX54" s="875">
        <f t="shared" si="16"/>
        <v>687194767.36000001</v>
      </c>
      <c r="DY54" s="969"/>
      <c r="DZ54" s="977"/>
      <c r="EA54" s="691">
        <f t="shared" si="17"/>
        <v>0</v>
      </c>
      <c r="EC54" s="691">
        <f t="shared" si="7"/>
        <v>0</v>
      </c>
      <c r="ED54" s="691">
        <f t="shared" si="20"/>
        <v>10977936408.576</v>
      </c>
      <c r="EE54" s="894">
        <f t="shared" si="14"/>
        <v>0.125</v>
      </c>
      <c r="EF54" s="975">
        <f t="shared" si="11"/>
        <v>1372242051.072</v>
      </c>
      <c r="EG54" s="691">
        <f t="shared" si="13"/>
        <v>8361523322.01966</v>
      </c>
      <c r="EH54" s="183">
        <f t="shared" si="21"/>
        <v>0</v>
      </c>
      <c r="EI54" s="949">
        <f t="shared" si="10"/>
        <v>2047</v>
      </c>
    </row>
    <row r="55" spans="3:139" ht="16.2" thickBot="1" x14ac:dyDescent="0.35">
      <c r="C55" s="122"/>
      <c r="D55" s="7"/>
      <c r="E55" s="7"/>
      <c r="F55" s="133">
        <v>0.25</v>
      </c>
      <c r="G55" s="135">
        <f>E57*F55</f>
        <v>508797328.29557794</v>
      </c>
      <c r="H55" s="461">
        <v>0.9</v>
      </c>
      <c r="I55" s="135">
        <f>G55*H55</f>
        <v>457917595.46602017</v>
      </c>
      <c r="J55" s="461">
        <v>0</v>
      </c>
      <c r="K55" s="440">
        <f>I55*J55</f>
        <v>0</v>
      </c>
      <c r="CX55" s="239"/>
      <c r="CZ55" s="1002" t="s">
        <v>867</v>
      </c>
      <c r="DA55" s="254"/>
      <c r="DB55" s="253"/>
      <c r="DD55" s="239"/>
      <c r="DE55" s="484">
        <v>0.17</v>
      </c>
      <c r="DF55" s="32">
        <f>DE55</f>
        <v>0.17</v>
      </c>
      <c r="DN55" s="332" t="s">
        <v>989</v>
      </c>
      <c r="DO55" s="953">
        <f t="shared" si="24"/>
        <v>2048</v>
      </c>
      <c r="DP55" s="691">
        <f t="shared" si="25"/>
        <v>166479606990188.38</v>
      </c>
      <c r="DQ55" s="894">
        <f t="shared" si="26"/>
        <v>2.5000000000000001E-2</v>
      </c>
      <c r="DR55" s="691">
        <f t="shared" si="27"/>
        <v>4161990174754.7095</v>
      </c>
      <c r="DS55" s="895" t="s">
        <v>1280</v>
      </c>
      <c r="DT55" s="76"/>
      <c r="DU55" s="953">
        <f t="shared" si="19"/>
        <v>2048</v>
      </c>
      <c r="DV55" s="691">
        <f t="shared" si="22"/>
        <v>10737418.24</v>
      </c>
      <c r="DW55" s="987">
        <v>64</v>
      </c>
      <c r="DX55" s="875">
        <f t="shared" si="16"/>
        <v>687194767.36000001</v>
      </c>
      <c r="DY55" s="969"/>
      <c r="DZ55" s="977"/>
      <c r="EA55" s="691">
        <f t="shared" si="17"/>
        <v>0</v>
      </c>
      <c r="EC55" s="691">
        <f t="shared" si="7"/>
        <v>0</v>
      </c>
      <c r="ED55" s="691">
        <f t="shared" si="20"/>
        <v>10977936408.576</v>
      </c>
      <c r="EE55" s="894">
        <f t="shared" si="14"/>
        <v>0.125</v>
      </c>
      <c r="EF55" s="975">
        <f t="shared" si="11"/>
        <v>1372242051.072</v>
      </c>
      <c r="EG55" s="691">
        <f t="shared" si="13"/>
        <v>8361523322.01966</v>
      </c>
      <c r="EH55" s="183">
        <f t="shared" si="21"/>
        <v>0</v>
      </c>
      <c r="EI55" s="949">
        <f t="shared" si="10"/>
        <v>2048</v>
      </c>
    </row>
    <row r="56" spans="3:139" ht="18.600000000000001" thickBot="1" x14ac:dyDescent="0.4">
      <c r="C56" s="122"/>
      <c r="D56" s="7"/>
      <c r="E56" s="7"/>
      <c r="F56" s="136"/>
      <c r="G56" s="136" t="s">
        <v>279</v>
      </c>
      <c r="H56" s="7"/>
      <c r="I56" s="451" t="s">
        <v>284</v>
      </c>
      <c r="J56" s="122"/>
      <c r="K56" s="8"/>
      <c r="S56" s="88"/>
      <c r="CX56" s="239"/>
      <c r="CZ56" s="719">
        <f>CZ48-CZ53</f>
        <v>836152332201.96594</v>
      </c>
      <c r="DA56" s="253"/>
      <c r="DB56" s="253"/>
      <c r="DC56" s="253"/>
      <c r="DD56" s="239" t="s">
        <v>892</v>
      </c>
      <c r="DE56" s="615">
        <f>DF58</f>
        <v>64.576577627145937</v>
      </c>
      <c r="DF56" s="569" t="s">
        <v>980</v>
      </c>
      <c r="DG56" s="569"/>
      <c r="DH56" s="181"/>
      <c r="DI56" s="181"/>
      <c r="DJ56" s="252"/>
      <c r="DK56" s="252"/>
      <c r="DL56" s="252"/>
      <c r="DM56" s="252"/>
      <c r="DS56" s="1"/>
      <c r="DY56" s="979">
        <f>SUM(DY22:DY55)</f>
        <v>15.975</v>
      </c>
      <c r="DZ56" s="979">
        <f>SUM(DZ22:DZ55)</f>
        <v>0</v>
      </c>
    </row>
    <row r="57" spans="3:139" ht="16.8" thickTop="1" thickBot="1" x14ac:dyDescent="0.35">
      <c r="C57" s="137" t="s">
        <v>291</v>
      </c>
      <c r="D57" s="138">
        <f>E57/E51</f>
        <v>5.5576698964803502E-2</v>
      </c>
      <c r="E57" s="139">
        <f>E14</f>
        <v>2035189313.1823118</v>
      </c>
      <c r="F57" s="140">
        <v>0.5</v>
      </c>
      <c r="G57" s="139">
        <f>E57*F57</f>
        <v>1017594656.5911559</v>
      </c>
      <c r="H57" s="463">
        <v>0.95</v>
      </c>
      <c r="I57" s="139">
        <f>G57*H57</f>
        <v>966714923.76159799</v>
      </c>
      <c r="J57" s="463">
        <v>0</v>
      </c>
      <c r="K57" s="441">
        <f>I57*J57</f>
        <v>0</v>
      </c>
      <c r="S57" s="88"/>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48"/>
      <c r="CY57" s="937" t="s">
        <v>1293</v>
      </c>
      <c r="CZ57" s="1003"/>
      <c r="DA57" s="253"/>
      <c r="DB57" s="877" t="s">
        <v>1293</v>
      </c>
      <c r="DC57" s="252"/>
      <c r="DD57" s="239"/>
      <c r="DE57" s="208">
        <f>DE50</f>
        <v>10.97801819661481</v>
      </c>
      <c r="DF57" s="80">
        <f>DE57</f>
        <v>10.97801819661481</v>
      </c>
      <c r="EC57" s="77" t="s">
        <v>966</v>
      </c>
      <c r="ED57" s="77"/>
      <c r="EE57" s="77" t="s">
        <v>965</v>
      </c>
      <c r="EF57" s="77"/>
      <c r="EG57" s="77"/>
    </row>
    <row r="58" spans="3:139" x14ac:dyDescent="0.3">
      <c r="C58" s="141"/>
      <c r="D58" s="107"/>
      <c r="E58" s="371"/>
      <c r="F58" s="142"/>
      <c r="G58" s="371"/>
      <c r="H58" s="7"/>
      <c r="I58" s="8"/>
      <c r="J58" s="122"/>
      <c r="K58" s="8"/>
      <c r="S58" s="88"/>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48"/>
      <c r="CY58" s="937" t="s">
        <v>1294</v>
      </c>
      <c r="CZ58" s="996">
        <f>CZ56*DA58</f>
        <v>8361523322.01966</v>
      </c>
      <c r="DA58" s="923">
        <v>0.01</v>
      </c>
      <c r="DB58" s="924" t="s">
        <v>1443</v>
      </c>
      <c r="DC58" s="925"/>
      <c r="DD58" s="239"/>
      <c r="DE58" s="76"/>
      <c r="DF58" s="1">
        <f>DF57/DF55</f>
        <v>64.576577627145937</v>
      </c>
      <c r="EC58" s="77" t="s">
        <v>785</v>
      </c>
      <c r="ED58" s="77"/>
      <c r="EE58" s="77" t="s">
        <v>962</v>
      </c>
      <c r="EF58" s="77"/>
      <c r="EG58" s="77"/>
    </row>
    <row r="59" spans="3:139" ht="16.2" thickBot="1" x14ac:dyDescent="0.35">
      <c r="C59" s="141"/>
      <c r="D59" s="107"/>
      <c r="E59" s="371"/>
      <c r="F59" s="142"/>
      <c r="G59" s="454" t="s">
        <v>744</v>
      </c>
      <c r="H59" s="251"/>
      <c r="I59" s="454" t="s">
        <v>744</v>
      </c>
      <c r="J59" s="455"/>
      <c r="K59" s="456"/>
      <c r="S59" s="88"/>
      <c r="T59" s="253"/>
      <c r="U59" s="253"/>
      <c r="V59" s="253"/>
      <c r="W59" s="253"/>
      <c r="X59" s="253"/>
      <c r="Y59" s="909"/>
      <c r="Z59" s="909"/>
      <c r="AA59" s="909"/>
      <c r="AB59" s="909"/>
      <c r="AC59" s="238"/>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H59" s="909"/>
      <c r="BI59" s="909"/>
      <c r="BJ59" s="909"/>
      <c r="BK59" s="909"/>
      <c r="BL59" s="909"/>
      <c r="BM59" s="909"/>
      <c r="BN59" s="909"/>
      <c r="BO59" s="909"/>
      <c r="BP59" s="909"/>
      <c r="BQ59" s="909"/>
      <c r="BR59" s="909"/>
      <c r="BS59" s="909"/>
      <c r="BT59" s="909"/>
      <c r="BU59" s="909"/>
      <c r="BV59" s="909"/>
      <c r="BW59" s="909"/>
      <c r="BX59" s="909"/>
      <c r="BY59" s="909"/>
      <c r="BZ59" s="909"/>
      <c r="CA59" s="909"/>
      <c r="CB59" s="909"/>
      <c r="CC59" s="909"/>
      <c r="CD59" s="909"/>
      <c r="CE59" s="909"/>
      <c r="CF59" s="909"/>
      <c r="CG59" s="909"/>
      <c r="CH59" s="909"/>
      <c r="CI59" s="909"/>
      <c r="CJ59" s="909"/>
      <c r="CK59" s="909"/>
      <c r="CL59" s="909"/>
      <c r="CM59" s="909"/>
      <c r="CN59" s="909"/>
      <c r="CO59" s="909"/>
      <c r="CP59" s="909"/>
      <c r="CQ59" s="909"/>
      <c r="CR59" s="909"/>
      <c r="CS59" s="909"/>
      <c r="CT59" s="909"/>
      <c r="CU59" s="909"/>
      <c r="CV59" s="76"/>
      <c r="CW59" s="410"/>
      <c r="CX59" s="928"/>
      <c r="CY59" s="948" t="s">
        <v>1295</v>
      </c>
      <c r="CZ59" s="911">
        <f>CZ56*DA59</f>
        <v>16723046644.03932</v>
      </c>
      <c r="DA59" s="912">
        <v>0.02</v>
      </c>
      <c r="DB59" s="875" t="s">
        <v>1162</v>
      </c>
      <c r="DC59" s="126"/>
      <c r="DD59" s="239"/>
      <c r="DE59" s="76"/>
      <c r="DJ59" s="32"/>
    </row>
    <row r="60" spans="3:139" ht="16.2" thickBot="1" x14ac:dyDescent="0.35">
      <c r="C60" s="397" t="s">
        <v>276</v>
      </c>
      <c r="D60" s="398">
        <f>100%-D57-D63</f>
        <v>0.78125</v>
      </c>
      <c r="E60" s="399">
        <f>E51*D60</f>
        <v>28608961678.897415</v>
      </c>
      <c r="F60" s="400">
        <v>1</v>
      </c>
      <c r="G60" s="399">
        <f>E60*F60</f>
        <v>28608961678.897415</v>
      </c>
      <c r="H60" s="464">
        <v>0.9</v>
      </c>
      <c r="I60" s="399">
        <f>G60*H60</f>
        <v>25748065511.007675</v>
      </c>
      <c r="J60" s="464">
        <v>0</v>
      </c>
      <c r="K60" s="453">
        <f>I60*J60</f>
        <v>0</v>
      </c>
      <c r="S60" s="8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76"/>
      <c r="CW60" s="76"/>
      <c r="CX60" s="239"/>
      <c r="CY60" s="948" t="s">
        <v>1296</v>
      </c>
      <c r="CZ60" s="911">
        <f>CZ56*DA60</f>
        <v>33446093288.07864</v>
      </c>
      <c r="DA60" s="912">
        <v>0.04</v>
      </c>
      <c r="DB60" s="875" t="s">
        <v>1441</v>
      </c>
      <c r="DC60" s="126"/>
      <c r="DD60" s="239"/>
      <c r="DE60" s="691">
        <f>DE32+DE47</f>
        <v>588952811254.45325</v>
      </c>
      <c r="DF60" s="1" t="s">
        <v>958</v>
      </c>
      <c r="DS60" s="1"/>
      <c r="DW60" s="1"/>
      <c r="EH60" s="1"/>
      <c r="EI60" s="1"/>
    </row>
    <row r="61" spans="3:139" x14ac:dyDescent="0.3">
      <c r="C61" s="403"/>
      <c r="D61" s="118"/>
      <c r="E61" s="837"/>
      <c r="F61" s="7"/>
      <c r="G61" s="7"/>
      <c r="H61" s="7"/>
      <c r="I61" s="8"/>
      <c r="J61" s="122"/>
      <c r="K61" s="8"/>
      <c r="S61" s="8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76"/>
      <c r="CW61" s="410"/>
      <c r="CX61" s="927"/>
      <c r="CY61" s="948" t="s">
        <v>1297</v>
      </c>
      <c r="CZ61" s="911">
        <f>CZ56*DA61</f>
        <v>50169139932.117958</v>
      </c>
      <c r="DA61" s="912">
        <v>0.06</v>
      </c>
      <c r="DB61" s="875" t="s">
        <v>1303</v>
      </c>
      <c r="DC61" s="126"/>
      <c r="DD61" s="253"/>
      <c r="DE61" s="647">
        <f>DE60/DE47</f>
        <v>88.824145572918496</v>
      </c>
    </row>
    <row r="62" spans="3:139" ht="16.2" thickBot="1" x14ac:dyDescent="0.35">
      <c r="C62" s="122"/>
      <c r="D62" s="95"/>
      <c r="E62" s="765"/>
      <c r="F62" s="148"/>
      <c r="G62" s="148" t="s">
        <v>147</v>
      </c>
      <c r="H62" s="7"/>
      <c r="I62" s="450" t="s">
        <v>285</v>
      </c>
      <c r="J62" s="122"/>
      <c r="K62" s="8"/>
      <c r="S62" s="8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76"/>
      <c r="CW62" s="76"/>
      <c r="CX62" s="239"/>
      <c r="CY62" s="948" t="s">
        <v>1300</v>
      </c>
      <c r="CZ62" s="911">
        <f>CZ56*DA62</f>
        <v>75253709898.176926</v>
      </c>
      <c r="DA62" s="912">
        <v>0.09</v>
      </c>
      <c r="DB62" s="410" t="s">
        <v>1442</v>
      </c>
      <c r="DC62" s="126"/>
      <c r="DD62" s="253"/>
    </row>
    <row r="63" spans="3:139" ht="16.2" thickBot="1" x14ac:dyDescent="0.35">
      <c r="C63" s="149" t="s">
        <v>737</v>
      </c>
      <c r="D63" s="150">
        <f>E63/E51</f>
        <v>0.16317330103519651</v>
      </c>
      <c r="E63" s="151">
        <f>E21</f>
        <v>5975319956.9089651</v>
      </c>
      <c r="F63" s="152">
        <v>0.3</v>
      </c>
      <c r="G63" s="151">
        <f>E63*F63</f>
        <v>1792595987.0726895</v>
      </c>
      <c r="H63" s="465">
        <v>0.9</v>
      </c>
      <c r="I63" s="151">
        <f>G63*H63</f>
        <v>1613336388.3654206</v>
      </c>
      <c r="J63" s="465">
        <v>0</v>
      </c>
      <c r="K63" s="444">
        <f>I63*J63</f>
        <v>0</v>
      </c>
      <c r="S63" s="8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926"/>
      <c r="CV63" s="410"/>
      <c r="CW63" s="410"/>
      <c r="CX63" s="927"/>
      <c r="CY63" s="948" t="s">
        <v>1305</v>
      </c>
      <c r="CZ63" s="911">
        <f>CZ56*DA63</f>
        <v>33446093288.07864</v>
      </c>
      <c r="DA63" s="912">
        <v>0.04</v>
      </c>
      <c r="DB63" s="410" t="s">
        <v>148</v>
      </c>
      <c r="DC63" s="126"/>
      <c r="DD63" s="253"/>
    </row>
    <row r="64" spans="3:139" ht="16.2" thickBot="1" x14ac:dyDescent="0.35">
      <c r="C64" s="141"/>
      <c r="D64" s="429"/>
      <c r="E64" s="371"/>
      <c r="F64" s="430"/>
      <c r="G64" s="432" t="s">
        <v>738</v>
      </c>
      <c r="H64" s="142"/>
      <c r="I64" s="449" t="s">
        <v>738</v>
      </c>
      <c r="J64" s="433"/>
      <c r="K64" s="434"/>
      <c r="S64" s="88"/>
      <c r="Y64" s="238"/>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S64" s="88"/>
      <c r="CU64" s="106"/>
      <c r="CV64" s="964"/>
      <c r="CW64" s="106"/>
      <c r="CX64" s="929"/>
      <c r="CY64" s="938"/>
      <c r="CZ64" s="1004"/>
      <c r="DA64" s="1005"/>
      <c r="DB64" s="1005"/>
      <c r="DC64" s="903"/>
      <c r="DD64" s="253"/>
    </row>
    <row r="65" spans="3:139" ht="16.2" thickBot="1" x14ac:dyDescent="0.35">
      <c r="C65" s="141"/>
      <c r="D65" s="429"/>
      <c r="E65" s="371"/>
      <c r="F65" s="430">
        <v>0.25</v>
      </c>
      <c r="G65" s="432">
        <f>E63*F65</f>
        <v>1493829989.2272413</v>
      </c>
      <c r="H65" s="466">
        <v>0.95</v>
      </c>
      <c r="I65" s="432">
        <f>G65*H65</f>
        <v>1419138489.7658792</v>
      </c>
      <c r="J65" s="466">
        <v>0</v>
      </c>
      <c r="K65" s="449">
        <f>I65*J65</f>
        <v>0</v>
      </c>
      <c r="S65" s="88"/>
      <c r="Y65" s="238"/>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S65" s="88"/>
      <c r="CU65" s="106"/>
      <c r="CV65" s="964"/>
      <c r="CW65" s="106"/>
      <c r="CX65" s="927"/>
      <c r="CY65" s="939" t="s">
        <v>1299</v>
      </c>
      <c r="CZ65" s="1006">
        <f>CZ53</f>
        <v>43980465111.040001</v>
      </c>
      <c r="DA65" s="935">
        <f>CZ65/CZ56</f>
        <v>5.2598627567323308E-2</v>
      </c>
      <c r="DB65" s="898" t="s">
        <v>1311</v>
      </c>
      <c r="DC65" s="905"/>
      <c r="DD65" s="253"/>
    </row>
    <row r="66" spans="3:139" ht="16.2" thickBot="1" x14ac:dyDescent="0.35">
      <c r="C66" s="122"/>
      <c r="D66" s="94">
        <f>SUM(D57:D63)</f>
        <v>1</v>
      </c>
      <c r="E66" s="7"/>
      <c r="F66" s="153"/>
      <c r="G66" s="154" t="s">
        <v>293</v>
      </c>
      <c r="H66" s="7"/>
      <c r="I66" s="448" t="s">
        <v>294</v>
      </c>
      <c r="J66" s="122"/>
      <c r="K66" s="8"/>
      <c r="S66" s="88"/>
      <c r="W66" s="77" t="s">
        <v>805</v>
      </c>
      <c r="Y66" s="238"/>
      <c r="AA66" s="576"/>
      <c r="AB66" s="88"/>
      <c r="AD66" s="88"/>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S66" s="88"/>
      <c r="CT66" s="88"/>
      <c r="CU66" s="106"/>
      <c r="CV66" s="964"/>
      <c r="CW66" s="106"/>
      <c r="CX66" s="106"/>
      <c r="CY66" s="940" t="s">
        <v>1325</v>
      </c>
      <c r="CZ66" s="930">
        <f>CZ56*DA66</f>
        <v>8361523322.01966</v>
      </c>
      <c r="DA66" s="931">
        <v>0.01</v>
      </c>
      <c r="DB66" s="898" t="s">
        <v>1315</v>
      </c>
      <c r="DC66" s="905"/>
      <c r="DD66" s="946">
        <v>272</v>
      </c>
      <c r="DE66" s="181" t="s">
        <v>1314</v>
      </c>
    </row>
    <row r="67" spans="3:139" ht="16.2" thickBot="1" x14ac:dyDescent="0.35">
      <c r="C67" s="122"/>
      <c r="D67" s="7"/>
      <c r="E67" s="7"/>
      <c r="F67" s="153">
        <v>0.2</v>
      </c>
      <c r="G67" s="99">
        <f>E63*F67</f>
        <v>1195063991.381793</v>
      </c>
      <c r="H67" s="467">
        <v>0.9</v>
      </c>
      <c r="I67" s="99">
        <f>G67*H67</f>
        <v>1075557592.2436137</v>
      </c>
      <c r="J67" s="467">
        <v>0</v>
      </c>
      <c r="K67" s="443">
        <f>I67*J67</f>
        <v>0</v>
      </c>
      <c r="S67" s="88"/>
      <c r="W67" s="949">
        <v>2024</v>
      </c>
      <c r="Y67" s="76"/>
      <c r="AA67" s="952"/>
      <c r="AB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S67" s="88"/>
      <c r="CU67" s="106"/>
      <c r="CV67" s="964"/>
      <c r="CW67" s="106"/>
      <c r="CX67" s="106"/>
      <c r="CY67" s="940" t="s">
        <v>1307</v>
      </c>
      <c r="CZ67" s="930">
        <f>CZ56*DA67</f>
        <v>41807616610.098297</v>
      </c>
      <c r="DA67" s="931">
        <v>0.05</v>
      </c>
      <c r="DB67" s="898" t="s">
        <v>1323</v>
      </c>
      <c r="DC67" s="905"/>
      <c r="DD67" s="945">
        <v>100</v>
      </c>
      <c r="DE67" s="938">
        <f>DD66*DD67</f>
        <v>27200</v>
      </c>
      <c r="DF67" s="1" t="s">
        <v>1316</v>
      </c>
    </row>
    <row r="68" spans="3:139" ht="16.2" thickBot="1" x14ac:dyDescent="0.35">
      <c r="C68" s="122"/>
      <c r="D68" s="7"/>
      <c r="E68" s="7"/>
      <c r="F68" s="445"/>
      <c r="G68" s="445" t="s">
        <v>733</v>
      </c>
      <c r="H68" s="7"/>
      <c r="I68" s="452" t="s">
        <v>733</v>
      </c>
      <c r="J68" s="122"/>
      <c r="K68" s="8"/>
      <c r="R68" s="38"/>
      <c r="S68" s="582"/>
      <c r="W68" s="77" t="s">
        <v>672</v>
      </c>
      <c r="Y68" s="238"/>
      <c r="AA68" s="576"/>
      <c r="AB68" s="88"/>
      <c r="AD68" s="88"/>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S68" s="88"/>
      <c r="CT68" s="88"/>
      <c r="CU68" s="106"/>
      <c r="CV68" s="964"/>
      <c r="CW68" s="106"/>
      <c r="CX68" s="251"/>
      <c r="CY68" s="940" t="s">
        <v>1308</v>
      </c>
      <c r="CZ68" s="930">
        <f>CZ56*DA68</f>
        <v>25084569966.058979</v>
      </c>
      <c r="DA68" s="931">
        <v>0.03</v>
      </c>
      <c r="DB68" s="898" t="s">
        <v>1438</v>
      </c>
      <c r="DC68" s="905"/>
      <c r="DD68" s="600"/>
      <c r="DE68" s="1">
        <v>1000</v>
      </c>
      <c r="DF68" s="1" t="s">
        <v>226</v>
      </c>
    </row>
    <row r="69" spans="3:139" ht="16.2" thickBot="1" x14ac:dyDescent="0.35">
      <c r="C69" s="122"/>
      <c r="D69" s="7"/>
      <c r="E69" s="7"/>
      <c r="F69" s="438">
        <v>0.2</v>
      </c>
      <c r="G69" s="446">
        <f>E63*F69</f>
        <v>1195063991.381793</v>
      </c>
      <c r="H69" s="447">
        <v>0.25</v>
      </c>
      <c r="I69" s="446">
        <f>G69*H69</f>
        <v>298765997.84544826</v>
      </c>
      <c r="J69" s="447">
        <v>0</v>
      </c>
      <c r="K69" s="439">
        <f>I69*J69</f>
        <v>0</v>
      </c>
      <c r="Q69" s="240" t="s">
        <v>952</v>
      </c>
      <c r="S69" s="88"/>
      <c r="W69" s="691">
        <f>DC47</f>
        <v>6630548568.2489748</v>
      </c>
      <c r="Y69" s="238"/>
      <c r="AA69" s="952"/>
      <c r="AB69" s="88"/>
      <c r="AD69" s="88"/>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88"/>
      <c r="CS69" s="88"/>
      <c r="CT69" s="88"/>
      <c r="CU69" s="88"/>
      <c r="CV69" s="958"/>
      <c r="CW69" s="88"/>
      <c r="CX69" s="88"/>
      <c r="CY69" s="940" t="s">
        <v>1317</v>
      </c>
      <c r="CZ69" s="930">
        <f>CZ56*DA69</f>
        <v>25084569966.058979</v>
      </c>
      <c r="DA69" s="931">
        <v>0.03</v>
      </c>
      <c r="DB69" s="898" t="s">
        <v>1356</v>
      </c>
      <c r="DC69" s="905"/>
      <c r="DD69" s="601"/>
      <c r="DE69" s="1">
        <f>DE67*DE68</f>
        <v>27200000</v>
      </c>
      <c r="DF69" s="1" t="s">
        <v>1320</v>
      </c>
    </row>
    <row r="70" spans="3:139" x14ac:dyDescent="0.3">
      <c r="C70" s="122"/>
      <c r="D70" s="7"/>
      <c r="E70" s="7"/>
      <c r="F70" s="142"/>
      <c r="G70" s="371"/>
      <c r="H70" s="142"/>
      <c r="I70" s="434"/>
      <c r="J70" s="142"/>
      <c r="K70" s="434"/>
      <c r="L70" s="240" t="s">
        <v>1367</v>
      </c>
      <c r="O70" s="240" t="s">
        <v>803</v>
      </c>
      <c r="Q70" s="951">
        <f>O72</f>
        <v>2048</v>
      </c>
      <c r="S70" s="248" t="s">
        <v>367</v>
      </c>
      <c r="U70" s="77" t="s">
        <v>1328</v>
      </c>
      <c r="W70" s="77" t="s">
        <v>806</v>
      </c>
      <c r="Y70" s="238"/>
      <c r="AA70" s="88"/>
      <c r="AB70" s="88"/>
      <c r="AD70" s="88"/>
      <c r="AE70" s="252"/>
      <c r="AF70" s="252"/>
      <c r="AG70" s="252"/>
      <c r="AH70" s="252"/>
      <c r="AI70" s="252"/>
      <c r="AJ70" s="252"/>
      <c r="AK70" s="252"/>
      <c r="AN70" s="252"/>
      <c r="AO70" s="252"/>
      <c r="AR70" s="252"/>
      <c r="AS70" s="252"/>
      <c r="AV70" s="252"/>
      <c r="AW70" s="252"/>
      <c r="AZ70" s="252"/>
      <c r="BA70" s="252"/>
      <c r="BD70" s="252"/>
      <c r="BE70" s="252"/>
      <c r="BH70" s="252"/>
      <c r="BI70" s="252"/>
      <c r="BL70" s="252"/>
      <c r="BM70" s="252"/>
      <c r="BN70" s="252"/>
      <c r="BO70" s="252"/>
      <c r="BP70" s="252"/>
      <c r="BQ70" s="252"/>
      <c r="BT70" s="252"/>
      <c r="BU70" s="252"/>
      <c r="BX70" s="252"/>
      <c r="BY70" s="252"/>
      <c r="CB70" s="252"/>
      <c r="CC70" s="252"/>
      <c r="CF70" s="252"/>
      <c r="CG70" s="252"/>
      <c r="CJ70" s="252"/>
      <c r="CK70" s="252"/>
      <c r="CN70" s="252"/>
      <c r="CO70" s="252"/>
      <c r="CR70" s="88"/>
      <c r="CS70" s="88"/>
      <c r="CT70" s="88"/>
      <c r="CU70" s="88"/>
      <c r="CV70" s="958"/>
      <c r="CW70" s="88"/>
      <c r="CX70" s="88"/>
      <c r="CY70" s="940" t="s">
        <v>1318</v>
      </c>
      <c r="CZ70" s="930">
        <f>CZ56*DA70</f>
        <v>25084569966.058979</v>
      </c>
      <c r="DA70" s="931">
        <v>0.03</v>
      </c>
      <c r="DB70" s="898" t="s">
        <v>1357</v>
      </c>
      <c r="DC70" s="905"/>
      <c r="DD70" s="600"/>
      <c r="DE70" s="1">
        <f>DE69*2</f>
        <v>54400000</v>
      </c>
      <c r="DF70" s="1" t="s">
        <v>1346</v>
      </c>
      <c r="DS70" s="1"/>
      <c r="DW70" s="1"/>
      <c r="EH70" s="1"/>
      <c r="EI70" s="1"/>
    </row>
    <row r="71" spans="3:139" x14ac:dyDescent="0.3">
      <c r="C71" s="122"/>
      <c r="D71" s="7"/>
      <c r="E71" s="7"/>
      <c r="F71" s="7"/>
      <c r="G71" s="7"/>
      <c r="H71" s="7"/>
      <c r="I71" s="8"/>
      <c r="J71" s="122"/>
      <c r="K71" s="8"/>
      <c r="L71" s="240" t="s">
        <v>1387</v>
      </c>
      <c r="M71" s="239" t="s">
        <v>1327</v>
      </c>
      <c r="O71" s="240" t="s">
        <v>902</v>
      </c>
      <c r="Q71" s="240" t="s">
        <v>902</v>
      </c>
      <c r="S71" s="955">
        <f>DA53</f>
        <v>2048</v>
      </c>
      <c r="U71" s="77" t="s">
        <v>804</v>
      </c>
      <c r="V71" s="947"/>
      <c r="W71" s="319">
        <v>0.3</v>
      </c>
      <c r="Y71" s="76" t="s">
        <v>893</v>
      </c>
      <c r="Z71" s="76"/>
      <c r="AA71" s="77" t="s">
        <v>1332</v>
      </c>
      <c r="AB71" s="88"/>
      <c r="AE71" s="958"/>
      <c r="AF71" s="644" t="s">
        <v>986</v>
      </c>
      <c r="AG71" s="958"/>
      <c r="CT71" s="88"/>
      <c r="CU71" s="88"/>
      <c r="CV71" s="958"/>
      <c r="CW71" s="88"/>
      <c r="CX71" s="88"/>
      <c r="CY71" s="940" t="s">
        <v>1319</v>
      </c>
      <c r="CZ71" s="930">
        <f>CZ56*DA71</f>
        <v>25084569966.058979</v>
      </c>
      <c r="DA71" s="931">
        <v>0.03</v>
      </c>
      <c r="DB71" s="898" t="s">
        <v>1358</v>
      </c>
      <c r="DC71" s="905"/>
      <c r="DD71" s="936"/>
    </row>
    <row r="72" spans="3:139" x14ac:dyDescent="0.3">
      <c r="C72" s="158"/>
      <c r="D72" s="10"/>
      <c r="E72" s="10"/>
      <c r="F72" s="10"/>
      <c r="G72" s="159">
        <f>SUM(G53:G71)</f>
        <v>36320704951.143242</v>
      </c>
      <c r="H72" s="160"/>
      <c r="I72" s="172">
        <f>SUM(I53:I71)</f>
        <v>31833895162.603447</v>
      </c>
      <c r="J72" s="158"/>
      <c r="K72" s="481">
        <f>SUM(K53:K71)</f>
        <v>0</v>
      </c>
      <c r="L72" s="482">
        <f>CZ34</f>
        <v>24.034557968875088</v>
      </c>
      <c r="M72" s="480">
        <f>K72*L72</f>
        <v>0</v>
      </c>
      <c r="N72" s="239"/>
      <c r="O72" s="950">
        <f>DA53</f>
        <v>2048</v>
      </c>
      <c r="P72" s="239"/>
      <c r="Q72" s="480">
        <f>M72*O72</f>
        <v>0</v>
      </c>
      <c r="R72" s="239"/>
      <c r="S72" s="956">
        <f>M72*S71</f>
        <v>0</v>
      </c>
      <c r="T72" s="239"/>
      <c r="U72" s="910">
        <f>Q72+S72</f>
        <v>0</v>
      </c>
      <c r="V72" s="949" t="s">
        <v>1330</v>
      </c>
      <c r="W72" s="910">
        <f>W69*W71</f>
        <v>1989164570.4746923</v>
      </c>
      <c r="X72" s="949" t="s">
        <v>1330</v>
      </c>
      <c r="Y72" s="910">
        <f>CZ59+CZ60+CZ61+CZ62+CZ63</f>
        <v>209038083050.49149</v>
      </c>
      <c r="Z72" s="949" t="s">
        <v>1331</v>
      </c>
      <c r="AA72" s="910">
        <f>U72+W72+Y72</f>
        <v>211027247620.96619</v>
      </c>
      <c r="AB72" s="238"/>
      <c r="AC72" s="238"/>
      <c r="AD72" s="961"/>
      <c r="AE72" s="644" t="s">
        <v>805</v>
      </c>
      <c r="AF72" s="958"/>
      <c r="AG72" s="644" t="s">
        <v>987</v>
      </c>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958"/>
      <c r="BP72" s="958"/>
      <c r="BQ72" s="958"/>
      <c r="BR72" s="958"/>
      <c r="BS72" s="958"/>
      <c r="BT72" s="958"/>
      <c r="BU72" s="958"/>
      <c r="BV72" s="958"/>
      <c r="BW72" s="958"/>
      <c r="BX72" s="958"/>
      <c r="BY72" s="958"/>
      <c r="BZ72" s="958"/>
      <c r="CA72" s="958"/>
      <c r="CB72" s="958"/>
      <c r="CC72" s="958"/>
      <c r="CD72" s="958"/>
      <c r="CE72" s="958"/>
      <c r="CF72" s="958"/>
      <c r="CG72" s="958"/>
      <c r="CH72" s="958"/>
      <c r="CI72" s="958"/>
      <c r="CJ72" s="958"/>
      <c r="CK72" s="958"/>
      <c r="CL72" s="958"/>
      <c r="CM72" s="958"/>
      <c r="CN72" s="958"/>
      <c r="CO72" s="958"/>
      <c r="CP72" s="958"/>
      <c r="CQ72" s="958"/>
      <c r="CR72" s="958"/>
      <c r="CS72" s="958"/>
      <c r="CT72" s="958"/>
      <c r="CU72" s="181"/>
      <c r="CV72" s="958"/>
      <c r="CW72" s="88"/>
      <c r="CX72" s="88"/>
      <c r="CY72" s="940" t="s">
        <v>1312</v>
      </c>
      <c r="CZ72" s="930">
        <f>CZ56*DA72</f>
        <v>25084569966.058979</v>
      </c>
      <c r="DA72" s="931">
        <v>0.03</v>
      </c>
      <c r="DB72" s="898" t="s">
        <v>1359</v>
      </c>
      <c r="DC72" s="905"/>
      <c r="DD72" s="812"/>
    </row>
    <row r="73" spans="3:139" x14ac:dyDescent="0.3">
      <c r="J73" s="88"/>
      <c r="K73" s="88"/>
      <c r="L73" s="88"/>
      <c r="M73" s="88"/>
      <c r="N73" s="88"/>
      <c r="O73" s="88"/>
      <c r="P73" s="88"/>
      <c r="Q73" s="88"/>
      <c r="R73" s="88"/>
      <c r="S73" s="252"/>
      <c r="T73" s="88"/>
      <c r="U73" s="88"/>
      <c r="V73" s="88"/>
      <c r="W73" s="88"/>
      <c r="X73" s="88"/>
      <c r="Y73" s="88"/>
      <c r="Z73" s="88"/>
      <c r="AA73" s="76"/>
      <c r="AB73" s="88"/>
      <c r="AD73" s="959"/>
      <c r="AE73" s="181"/>
      <c r="AF73" s="962">
        <v>2.5000000000000001E-2</v>
      </c>
      <c r="AG73" s="181"/>
      <c r="CU73" s="88"/>
      <c r="CV73" s="88"/>
      <c r="CW73" s="88"/>
      <c r="CX73" s="88"/>
      <c r="CY73" s="940" t="s">
        <v>1313</v>
      </c>
      <c r="CZ73" s="930">
        <f>CZ56*DA73</f>
        <v>41807616610.098297</v>
      </c>
      <c r="DA73" s="931">
        <v>0.05</v>
      </c>
      <c r="DB73" s="898" t="s">
        <v>1361</v>
      </c>
      <c r="DC73" s="905"/>
      <c r="DD73" s="255"/>
    </row>
    <row r="74" spans="3:139" x14ac:dyDescent="0.3">
      <c r="J74" s="88"/>
      <c r="K74" s="88"/>
      <c r="L74" s="88"/>
      <c r="M74" s="88"/>
      <c r="N74" s="88"/>
      <c r="O74" s="88"/>
      <c r="P74" s="88"/>
      <c r="Q74" s="88"/>
      <c r="R74" s="88"/>
      <c r="S74" s="252"/>
      <c r="T74" s="88"/>
      <c r="U74" s="88"/>
      <c r="V74" s="88"/>
      <c r="W74" s="88"/>
      <c r="X74" s="88"/>
      <c r="Y74" s="88"/>
      <c r="Z74" s="88"/>
      <c r="AA74" s="76"/>
      <c r="AB74" s="88"/>
      <c r="AC74" s="555" t="s">
        <v>988</v>
      </c>
      <c r="AD74" s="960">
        <v>2016</v>
      </c>
      <c r="AE74" s="691">
        <v>5442000000</v>
      </c>
      <c r="AF74" s="963">
        <f t="shared" ref="AF74:AF106" si="28">AF73</f>
        <v>2.5000000000000001E-2</v>
      </c>
      <c r="AG74" s="691">
        <f t="shared" ref="AG74:AG106" si="29">AE74*AF74</f>
        <v>136050000</v>
      </c>
      <c r="CU74" s="88"/>
      <c r="CV74" s="252"/>
      <c r="CW74" s="252"/>
      <c r="CX74" s="252"/>
      <c r="CY74" s="940" t="s">
        <v>1324</v>
      </c>
      <c r="CZ74" s="930">
        <f>CZ56*DA74</f>
        <v>83615233220.196594</v>
      </c>
      <c r="DA74" s="931">
        <v>0.1</v>
      </c>
      <c r="DB74" s="898" t="s">
        <v>1439</v>
      </c>
      <c r="DC74" s="905"/>
      <c r="DD74" s="255"/>
    </row>
    <row r="75" spans="3:139" x14ac:dyDescent="0.3">
      <c r="J75" s="88"/>
      <c r="K75" s="88"/>
      <c r="L75" s="88"/>
      <c r="M75" s="88"/>
      <c r="N75" s="88"/>
      <c r="O75" s="88"/>
      <c r="P75" s="88"/>
      <c r="Q75" s="88"/>
      <c r="R75" s="88"/>
      <c r="S75" s="252"/>
      <c r="T75" s="88"/>
      <c r="U75" s="88"/>
      <c r="V75" s="88"/>
      <c r="W75" s="88"/>
      <c r="X75" s="88"/>
      <c r="Y75" s="88"/>
      <c r="Z75" s="361" t="s">
        <v>1334</v>
      </c>
      <c r="AA75" s="76">
        <f>W72</f>
        <v>1989164570.4746923</v>
      </c>
      <c r="AB75" s="88"/>
      <c r="AD75" s="960">
        <f t="shared" ref="AD75:AD106" si="30">AD74+1</f>
        <v>2017</v>
      </c>
      <c r="AE75" s="691">
        <f t="shared" ref="AE75:AE106" si="31">AE74+AG74</f>
        <v>5578050000</v>
      </c>
      <c r="AF75" s="963">
        <f t="shared" si="28"/>
        <v>2.5000000000000001E-2</v>
      </c>
      <c r="AG75" s="691">
        <f t="shared" si="29"/>
        <v>139451250</v>
      </c>
      <c r="CU75" s="88"/>
      <c r="CV75" s="252"/>
      <c r="CW75" s="88"/>
      <c r="CX75" s="88"/>
      <c r="CY75" s="940" t="s">
        <v>1306</v>
      </c>
      <c r="CZ75" s="930">
        <f>CZ56*DA75</f>
        <v>16723046644.03932</v>
      </c>
      <c r="DA75" s="931">
        <v>0.02</v>
      </c>
      <c r="DB75" s="899" t="s">
        <v>1360</v>
      </c>
      <c r="DC75" s="932"/>
      <c r="DD75" s="255"/>
    </row>
    <row r="76" spans="3:139" x14ac:dyDescent="0.3">
      <c r="R76" s="88"/>
      <c r="S76" s="252"/>
      <c r="T76" s="88"/>
      <c r="U76" s="88"/>
      <c r="V76" s="88"/>
      <c r="W76" s="88"/>
      <c r="X76" s="88"/>
      <c r="Y76" s="88"/>
      <c r="Z76" s="361" t="s">
        <v>1347</v>
      </c>
      <c r="AA76" s="736">
        <f>AA72</f>
        <v>211027247620.96619</v>
      </c>
      <c r="AB76" s="88"/>
      <c r="AD76" s="960">
        <f t="shared" si="30"/>
        <v>2018</v>
      </c>
      <c r="AE76" s="691">
        <f t="shared" si="31"/>
        <v>5717501250</v>
      </c>
      <c r="AF76" s="963">
        <f t="shared" si="28"/>
        <v>2.5000000000000001E-2</v>
      </c>
      <c r="AG76" s="691">
        <f t="shared" si="29"/>
        <v>142937531.25</v>
      </c>
      <c r="CU76" s="88"/>
      <c r="CV76" s="252"/>
      <c r="CW76" s="88"/>
      <c r="CX76" s="88"/>
      <c r="CY76" s="941" t="s">
        <v>1309</v>
      </c>
      <c r="CZ76" s="930">
        <f>CZ56*DA76</f>
        <v>16723046644.03932</v>
      </c>
      <c r="DA76" s="931">
        <v>0.02</v>
      </c>
      <c r="DB76" s="899" t="s">
        <v>1440</v>
      </c>
      <c r="DC76" s="932"/>
      <c r="DD76" s="255"/>
    </row>
    <row r="77" spans="3:139" x14ac:dyDescent="0.3">
      <c r="R77" s="88"/>
      <c r="S77" s="252"/>
      <c r="T77" s="88"/>
      <c r="U77" s="88"/>
      <c r="V77" s="88"/>
      <c r="W77" s="88"/>
      <c r="X77" s="88"/>
      <c r="Y77" s="88"/>
      <c r="Z77" s="88"/>
      <c r="AA77" s="541"/>
      <c r="AB77" s="252"/>
      <c r="AD77" s="960">
        <f t="shared" si="30"/>
        <v>2019</v>
      </c>
      <c r="AE77" s="691">
        <f t="shared" si="31"/>
        <v>5860438781.25</v>
      </c>
      <c r="AF77" s="963">
        <f t="shared" si="28"/>
        <v>2.5000000000000001E-2</v>
      </c>
      <c r="AG77" s="691">
        <f t="shared" si="29"/>
        <v>146510969.53125</v>
      </c>
      <c r="CU77" s="88"/>
      <c r="CV77" s="88"/>
      <c r="CW77" s="88"/>
      <c r="CX77" s="88"/>
      <c r="CY77" s="940" t="s">
        <v>1310</v>
      </c>
      <c r="CZ77" s="904">
        <f>CZ56*DA77</f>
        <v>41807616610.098297</v>
      </c>
      <c r="DA77" s="1065">
        <v>0.05</v>
      </c>
      <c r="DB77" s="898" t="s">
        <v>1362</v>
      </c>
      <c r="DC77" s="905"/>
      <c r="DD77" s="255"/>
    </row>
    <row r="78" spans="3:139" x14ac:dyDescent="0.3">
      <c r="R78" s="88"/>
      <c r="S78" s="252"/>
      <c r="T78" s="88"/>
      <c r="U78" s="88"/>
      <c r="V78" s="88"/>
      <c r="W78" s="88"/>
      <c r="X78" s="88"/>
      <c r="Y78" s="88"/>
      <c r="Z78" s="555" t="s">
        <v>1333</v>
      </c>
      <c r="AA78" s="957">
        <f>AA72/W72</f>
        <v>106.08838039509564</v>
      </c>
      <c r="AB78" s="252"/>
      <c r="AD78" s="960">
        <f t="shared" si="30"/>
        <v>2020</v>
      </c>
      <c r="AE78" s="691">
        <f t="shared" si="31"/>
        <v>6006949750.78125</v>
      </c>
      <c r="AF78" s="963">
        <f t="shared" si="28"/>
        <v>2.5000000000000001E-2</v>
      </c>
      <c r="AG78" s="691">
        <f t="shared" si="29"/>
        <v>150173743.76953125</v>
      </c>
      <c r="CU78" s="88"/>
      <c r="CV78" s="88"/>
      <c r="CW78" s="88"/>
      <c r="CX78" s="88"/>
      <c r="CY78" s="940" t="s">
        <v>1452</v>
      </c>
      <c r="CZ78" s="904">
        <f>CZ56*DA78</f>
        <v>41807616610.098297</v>
      </c>
      <c r="DA78" s="1065">
        <v>0.05</v>
      </c>
      <c r="DB78" s="898" t="s">
        <v>1450</v>
      </c>
      <c r="DC78" s="905"/>
      <c r="DD78" s="255"/>
    </row>
    <row r="79" spans="3:139" x14ac:dyDescent="0.3">
      <c r="R79" s="88"/>
      <c r="S79" s="252"/>
      <c r="T79" s="88"/>
      <c r="U79" s="88"/>
      <c r="V79" s="88"/>
      <c r="W79" s="88"/>
      <c r="X79" s="88"/>
      <c r="AB79" s="252"/>
      <c r="AD79" s="960">
        <f t="shared" si="30"/>
        <v>2021</v>
      </c>
      <c r="AE79" s="691">
        <f t="shared" si="31"/>
        <v>6157123494.5507813</v>
      </c>
      <c r="AF79" s="963">
        <f t="shared" si="28"/>
        <v>2.5000000000000001E-2</v>
      </c>
      <c r="AG79" s="691">
        <f t="shared" si="29"/>
        <v>153928087.36376953</v>
      </c>
      <c r="CU79" s="88"/>
      <c r="CV79" s="88"/>
      <c r="CW79" s="88"/>
      <c r="CX79" s="88"/>
      <c r="CY79" s="940" t="s">
        <v>1454</v>
      </c>
      <c r="CZ79" s="904">
        <f>CZ56*DA79</f>
        <v>41807616610.098297</v>
      </c>
      <c r="DA79" s="1065">
        <v>0.05</v>
      </c>
      <c r="DB79" s="898" t="s">
        <v>1455</v>
      </c>
      <c r="DC79" s="905"/>
      <c r="DD79" s="255"/>
    </row>
    <row r="80" spans="3:139" x14ac:dyDescent="0.3">
      <c r="R80" s="88"/>
      <c r="S80" s="252"/>
      <c r="T80" s="88"/>
      <c r="U80" s="88"/>
      <c r="V80" s="88"/>
      <c r="W80" s="88"/>
      <c r="X80" s="88"/>
      <c r="Y80" s="88"/>
      <c r="Z80" s="88"/>
      <c r="AA80" s="88"/>
      <c r="AB80" s="88"/>
      <c r="AD80" s="960">
        <f t="shared" si="30"/>
        <v>2022</v>
      </c>
      <c r="AE80" s="691">
        <f t="shared" si="31"/>
        <v>6311051581.9145508</v>
      </c>
      <c r="AF80" s="963">
        <f t="shared" si="28"/>
        <v>2.5000000000000001E-2</v>
      </c>
      <c r="AG80" s="691">
        <f t="shared" si="29"/>
        <v>157776289.54786378</v>
      </c>
      <c r="CU80" s="88"/>
      <c r="CV80" s="88"/>
      <c r="CW80" s="88"/>
      <c r="CX80" s="88"/>
      <c r="CY80" s="940" t="s">
        <v>1326</v>
      </c>
      <c r="CZ80" s="904">
        <f>CZ56*DA80</f>
        <v>33446093288.07864</v>
      </c>
      <c r="DA80" s="1065">
        <v>0.04</v>
      </c>
      <c r="DB80" s="898" t="s">
        <v>1348</v>
      </c>
      <c r="DC80" s="905"/>
      <c r="DD80" s="251"/>
    </row>
    <row r="81" spans="18:109" x14ac:dyDescent="0.3">
      <c r="R81" s="88"/>
      <c r="S81" s="252"/>
      <c r="T81" s="88"/>
      <c r="U81" s="88"/>
      <c r="V81" s="88"/>
      <c r="W81" s="88"/>
      <c r="Y81" s="88"/>
      <c r="Z81" s="88"/>
      <c r="AA81" s="88"/>
      <c r="AB81" s="88"/>
      <c r="AD81" s="960">
        <f t="shared" si="30"/>
        <v>2023</v>
      </c>
      <c r="AE81" s="691">
        <f t="shared" si="31"/>
        <v>6468827871.4624147</v>
      </c>
      <c r="AF81" s="963">
        <f t="shared" si="28"/>
        <v>2.5000000000000001E-2</v>
      </c>
      <c r="AG81" s="691">
        <f t="shared" si="29"/>
        <v>161720696.78656039</v>
      </c>
      <c r="CU81" s="88"/>
      <c r="CV81" s="88"/>
      <c r="CW81" s="88"/>
      <c r="CX81" s="88"/>
      <c r="CY81" s="940" t="s">
        <v>1298</v>
      </c>
      <c r="CZ81" s="930">
        <f>CZ56*DA81</f>
        <v>33446093288.07864</v>
      </c>
      <c r="DA81" s="931">
        <v>0.04</v>
      </c>
      <c r="DB81" s="898" t="s">
        <v>1363</v>
      </c>
      <c r="DC81" s="905"/>
      <c r="DD81" s="251"/>
    </row>
    <row r="82" spans="18:109" x14ac:dyDescent="0.3">
      <c r="R82" s="88"/>
      <c r="S82" s="252"/>
      <c r="T82" s="88"/>
      <c r="U82" s="88"/>
      <c r="V82" s="88"/>
      <c r="W82" s="88"/>
      <c r="X82" s="88"/>
      <c r="AB82" s="88"/>
      <c r="AD82" s="965">
        <f t="shared" si="30"/>
        <v>2024</v>
      </c>
      <c r="AE82" s="182">
        <f t="shared" si="31"/>
        <v>6630548568.2489748</v>
      </c>
      <c r="AF82" s="966">
        <f t="shared" si="28"/>
        <v>2.5000000000000001E-2</v>
      </c>
      <c r="AG82" s="967">
        <f t="shared" si="29"/>
        <v>165763714.20622438</v>
      </c>
      <c r="CU82" s="88"/>
      <c r="CV82" s="88"/>
      <c r="CW82" s="88"/>
      <c r="CX82" s="88"/>
      <c r="CY82" s="942"/>
      <c r="CZ82" s="1067"/>
      <c r="DA82" s="1068">
        <f>SUM(DA58:DA81)</f>
        <v>0.94259862756732371</v>
      </c>
      <c r="DB82" s="1069"/>
      <c r="DC82" s="1070"/>
      <c r="DD82" s="251"/>
    </row>
    <row r="83" spans="18:109" x14ac:dyDescent="0.3">
      <c r="R83" s="88"/>
      <c r="S83" s="252"/>
      <c r="T83" s="88"/>
      <c r="U83" s="88"/>
      <c r="V83" s="88"/>
      <c r="W83" s="88"/>
      <c r="X83" s="88"/>
      <c r="AB83" s="88"/>
      <c r="AD83" s="960">
        <f t="shared" si="30"/>
        <v>2025</v>
      </c>
      <c r="AE83" s="691">
        <f t="shared" si="31"/>
        <v>6796312282.4551992</v>
      </c>
      <c r="AF83" s="963">
        <f t="shared" si="28"/>
        <v>2.5000000000000001E-2</v>
      </c>
      <c r="AG83" s="691">
        <f t="shared" si="29"/>
        <v>169907807.06138</v>
      </c>
      <c r="CU83" s="88"/>
      <c r="CV83" s="88"/>
      <c r="CW83" s="88"/>
      <c r="CX83" s="88"/>
      <c r="CY83" s="941" t="s">
        <v>1321</v>
      </c>
      <c r="CZ83" s="904">
        <f>CZ56*DA83</f>
        <v>47996291431.175919</v>
      </c>
      <c r="DA83" s="1065">
        <f>100%-DA82</f>
        <v>5.740137243267629E-2</v>
      </c>
      <c r="DB83" s="898" t="s">
        <v>148</v>
      </c>
      <c r="DC83" s="905"/>
      <c r="DD83" s="251"/>
    </row>
    <row r="84" spans="18:109" x14ac:dyDescent="0.3">
      <c r="R84" s="88"/>
      <c r="S84" s="88"/>
      <c r="T84" s="88"/>
      <c r="U84" s="88"/>
      <c r="V84" s="88"/>
      <c r="W84" s="88"/>
      <c r="X84" s="88"/>
      <c r="Y84" s="88"/>
      <c r="Z84" s="88"/>
      <c r="AA84" s="88"/>
      <c r="AB84" s="88"/>
      <c r="AD84" s="960">
        <f t="shared" si="30"/>
        <v>2026</v>
      </c>
      <c r="AE84" s="691">
        <f t="shared" si="31"/>
        <v>6966220089.5165796</v>
      </c>
      <c r="AF84" s="963">
        <f t="shared" si="28"/>
        <v>2.5000000000000001E-2</v>
      </c>
      <c r="AG84" s="691">
        <f t="shared" si="29"/>
        <v>174155502.2379145</v>
      </c>
      <c r="CU84" s="88"/>
      <c r="CV84" s="88"/>
      <c r="CW84" s="88"/>
      <c r="CX84" s="88"/>
      <c r="CY84" s="943" t="s">
        <v>1322</v>
      </c>
      <c r="CZ84" s="1071">
        <f>SUM(CZ58:CZ83)</f>
        <v>836152332201.96533</v>
      </c>
      <c r="DA84" s="1072">
        <f>DA82+DA83</f>
        <v>1</v>
      </c>
      <c r="DB84" s="1073" t="s">
        <v>59</v>
      </c>
      <c r="DC84" s="1074"/>
      <c r="DD84" s="251"/>
    </row>
    <row r="85" spans="18:109" x14ac:dyDescent="0.3">
      <c r="R85" s="88"/>
      <c r="S85" s="88"/>
      <c r="T85" s="88"/>
      <c r="U85" s="88"/>
      <c r="V85" s="88"/>
      <c r="AD85" s="960">
        <f t="shared" si="30"/>
        <v>2027</v>
      </c>
      <c r="AE85" s="691">
        <f t="shared" si="31"/>
        <v>7140375591.7544937</v>
      </c>
      <c r="AF85" s="963">
        <f t="shared" si="28"/>
        <v>2.5000000000000001E-2</v>
      </c>
      <c r="AG85" s="691">
        <f t="shared" si="29"/>
        <v>178509389.79386234</v>
      </c>
      <c r="CU85" s="88"/>
      <c r="CV85" s="88"/>
      <c r="CW85" s="88"/>
      <c r="CX85" s="88"/>
      <c r="CY85" s="943" t="s">
        <v>1329</v>
      </c>
      <c r="CZ85" s="179">
        <f>CZ59+CZ60+CZ61+CZ62+CZ63</f>
        <v>209038083050.49149</v>
      </c>
      <c r="DA85" s="160"/>
      <c r="DB85" s="160" t="s">
        <v>1364</v>
      </c>
      <c r="DC85" s="303"/>
      <c r="DD85" s="251"/>
    </row>
    <row r="86" spans="18:109" x14ac:dyDescent="0.3">
      <c r="AD86" s="960">
        <f t="shared" si="30"/>
        <v>2028</v>
      </c>
      <c r="AE86" s="691">
        <f t="shared" si="31"/>
        <v>7318884981.5483561</v>
      </c>
      <c r="AF86" s="963">
        <f t="shared" si="28"/>
        <v>2.5000000000000001E-2</v>
      </c>
      <c r="AG86" s="691">
        <f t="shared" si="29"/>
        <v>182972124.53870893</v>
      </c>
      <c r="CU86" s="88"/>
      <c r="CV86" s="88"/>
      <c r="CW86" s="88"/>
      <c r="CX86" s="88"/>
      <c r="CY86" s="364"/>
      <c r="CZ86" s="1075"/>
      <c r="DA86" s="1076"/>
      <c r="DB86" s="1076"/>
      <c r="DC86" s="1077"/>
      <c r="DD86" s="251"/>
    </row>
    <row r="87" spans="18:109" x14ac:dyDescent="0.3">
      <c r="AD87" s="960">
        <f t="shared" si="30"/>
        <v>2029</v>
      </c>
      <c r="AE87" s="691">
        <f t="shared" si="31"/>
        <v>7501857106.0870647</v>
      </c>
      <c r="AF87" s="963">
        <f t="shared" si="28"/>
        <v>2.5000000000000001E-2</v>
      </c>
      <c r="AG87" s="691">
        <f t="shared" si="29"/>
        <v>187546427.65217662</v>
      </c>
      <c r="CU87" s="88"/>
      <c r="CV87" s="88"/>
      <c r="CW87" s="88"/>
      <c r="CX87" s="88"/>
      <c r="CY87" s="1007" t="s">
        <v>1336</v>
      </c>
      <c r="CZ87" s="1066">
        <f>AA72</f>
        <v>211027247620.96619</v>
      </c>
      <c r="DA87" s="251" t="s">
        <v>1335</v>
      </c>
      <c r="DB87" s="251"/>
      <c r="DC87" s="251"/>
      <c r="DD87" s="251"/>
    </row>
    <row r="88" spans="18:109" x14ac:dyDescent="0.3">
      <c r="AD88" s="960">
        <f t="shared" si="30"/>
        <v>2030</v>
      </c>
      <c r="AE88" s="691">
        <f t="shared" si="31"/>
        <v>7689403533.7392416</v>
      </c>
      <c r="AF88" s="963">
        <f t="shared" si="28"/>
        <v>2.5000000000000001E-2</v>
      </c>
      <c r="AG88" s="691">
        <f t="shared" si="29"/>
        <v>192235088.34348106</v>
      </c>
      <c r="CU88" s="88"/>
      <c r="CV88" s="88"/>
      <c r="CW88" s="88"/>
      <c r="CX88" s="88"/>
      <c r="CY88" s="1008" t="s">
        <v>1337</v>
      </c>
      <c r="CZ88" s="1009">
        <f>W72</f>
        <v>1989164570.4746923</v>
      </c>
      <c r="DA88" s="898" t="s">
        <v>1338</v>
      </c>
      <c r="DB88" s="898"/>
      <c r="DC88" s="251"/>
      <c r="DD88" s="251"/>
    </row>
    <row r="89" spans="18:109" x14ac:dyDescent="0.3">
      <c r="AD89" s="960">
        <f t="shared" si="30"/>
        <v>2031</v>
      </c>
      <c r="AE89" s="691">
        <f t="shared" si="31"/>
        <v>7881638622.0827227</v>
      </c>
      <c r="AF89" s="963">
        <f t="shared" si="28"/>
        <v>2.5000000000000001E-2</v>
      </c>
      <c r="AG89" s="691">
        <f t="shared" si="29"/>
        <v>197040965.55206808</v>
      </c>
      <c r="CU89" s="88"/>
      <c r="CV89" s="88"/>
      <c r="CW89" s="88"/>
      <c r="CX89" s="88"/>
      <c r="CY89" s="106"/>
      <c r="CZ89" s="745"/>
      <c r="DA89" s="251"/>
      <c r="DB89" s="251"/>
      <c r="DC89" s="251"/>
      <c r="DD89" s="251"/>
      <c r="DE89" s="252"/>
    </row>
    <row r="90" spans="18:109" x14ac:dyDescent="0.3">
      <c r="AD90" s="960">
        <f t="shared" si="30"/>
        <v>2032</v>
      </c>
      <c r="AE90" s="691">
        <f t="shared" si="31"/>
        <v>8078679587.6347904</v>
      </c>
      <c r="AF90" s="963">
        <f t="shared" si="28"/>
        <v>2.5000000000000001E-2</v>
      </c>
      <c r="AG90" s="691">
        <f t="shared" si="29"/>
        <v>201966989.69086978</v>
      </c>
      <c r="CU90" s="88"/>
      <c r="CV90" s="88"/>
      <c r="CW90" s="88"/>
      <c r="CX90" s="88"/>
      <c r="CZ90" s="999" t="s">
        <v>1355</v>
      </c>
      <c r="DA90" s="252"/>
      <c r="DB90" s="252"/>
      <c r="DC90" s="252"/>
      <c r="DD90" s="252"/>
      <c r="DE90" s="252"/>
    </row>
    <row r="91" spans="18:109" x14ac:dyDescent="0.3">
      <c r="AD91" s="960">
        <f t="shared" si="30"/>
        <v>2033</v>
      </c>
      <c r="AE91" s="691">
        <f t="shared" si="31"/>
        <v>8280646577.3256598</v>
      </c>
      <c r="AF91" s="963">
        <f t="shared" si="28"/>
        <v>2.5000000000000001E-2</v>
      </c>
      <c r="AG91" s="691">
        <f t="shared" si="29"/>
        <v>207016164.4331415</v>
      </c>
      <c r="CU91" s="88"/>
      <c r="CV91" s="88"/>
      <c r="CW91" s="88"/>
      <c r="CX91" s="88"/>
      <c r="DA91" s="252"/>
      <c r="DB91" s="252"/>
      <c r="DC91" s="252"/>
      <c r="DD91" s="252"/>
      <c r="DE91" s="252"/>
    </row>
    <row r="92" spans="18:109" x14ac:dyDescent="0.3">
      <c r="AD92" s="960">
        <f t="shared" si="30"/>
        <v>2034</v>
      </c>
      <c r="AE92" s="691">
        <f t="shared" si="31"/>
        <v>8487662741.7588015</v>
      </c>
      <c r="AF92" s="963">
        <f t="shared" si="28"/>
        <v>2.5000000000000001E-2</v>
      </c>
      <c r="AG92" s="691">
        <f t="shared" si="29"/>
        <v>212191568.54397005</v>
      </c>
      <c r="CU92" s="88"/>
      <c r="CV92" s="88"/>
      <c r="CW92" s="88"/>
      <c r="CX92" s="252"/>
      <c r="CZ92" s="42">
        <v>106</v>
      </c>
      <c r="DA92" s="252"/>
      <c r="DB92" s="252"/>
      <c r="DC92" s="252"/>
      <c r="DD92" s="252"/>
      <c r="DE92" s="252"/>
    </row>
    <row r="93" spans="18:109" x14ac:dyDescent="0.3">
      <c r="AD93" s="960">
        <f t="shared" si="30"/>
        <v>2035</v>
      </c>
      <c r="AE93" s="691">
        <f t="shared" si="31"/>
        <v>8699854310.3027706</v>
      </c>
      <c r="AF93" s="963">
        <f t="shared" si="28"/>
        <v>2.5000000000000001E-2</v>
      </c>
      <c r="AG93" s="691">
        <f t="shared" si="29"/>
        <v>217496357.75756928</v>
      </c>
      <c r="CZ93" s="1">
        <f>CZ88*CZ92</f>
        <v>210851444470.31738</v>
      </c>
      <c r="DA93" s="252"/>
      <c r="DB93" s="252"/>
      <c r="DC93" s="252"/>
      <c r="DD93" s="252"/>
      <c r="DE93" s="252"/>
    </row>
    <row r="94" spans="18:109" x14ac:dyDescent="0.3">
      <c r="AD94" s="960">
        <f t="shared" si="30"/>
        <v>2036</v>
      </c>
      <c r="AE94" s="691">
        <f t="shared" si="31"/>
        <v>8917350668.060339</v>
      </c>
      <c r="AF94" s="963">
        <f t="shared" si="28"/>
        <v>2.5000000000000001E-2</v>
      </c>
      <c r="AG94" s="691">
        <f t="shared" si="29"/>
        <v>222933766.70150849</v>
      </c>
      <c r="DA94" s="252"/>
      <c r="DB94" s="252"/>
      <c r="DC94" s="252"/>
      <c r="DD94" s="252"/>
      <c r="DE94" s="252"/>
    </row>
    <row r="95" spans="18:109" x14ac:dyDescent="0.3">
      <c r="AD95" s="960">
        <f t="shared" si="30"/>
        <v>2037</v>
      </c>
      <c r="AE95" s="691">
        <f t="shared" si="31"/>
        <v>9140284434.7618465</v>
      </c>
      <c r="AF95" s="963">
        <f t="shared" si="28"/>
        <v>2.5000000000000001E-2</v>
      </c>
      <c r="AG95" s="691">
        <f t="shared" si="29"/>
        <v>228507110.86904618</v>
      </c>
      <c r="DA95" s="252"/>
      <c r="DB95" s="252"/>
      <c r="DC95" s="252"/>
      <c r="DD95" s="252"/>
      <c r="DE95" s="252"/>
    </row>
    <row r="96" spans="18:109" x14ac:dyDescent="0.3">
      <c r="AD96" s="960">
        <f t="shared" si="30"/>
        <v>2038</v>
      </c>
      <c r="AE96" s="691">
        <f t="shared" si="31"/>
        <v>9368791545.6308918</v>
      </c>
      <c r="AF96" s="963">
        <f t="shared" si="28"/>
        <v>2.5000000000000001E-2</v>
      </c>
      <c r="AG96" s="691">
        <f t="shared" si="29"/>
        <v>234219788.64077231</v>
      </c>
      <c r="DA96" s="252"/>
      <c r="DB96" s="252"/>
      <c r="DC96" s="252"/>
      <c r="DD96" s="252"/>
      <c r="DE96" s="252"/>
    </row>
    <row r="97" spans="30:109" x14ac:dyDescent="0.3">
      <c r="AD97" s="960">
        <f t="shared" si="30"/>
        <v>2039</v>
      </c>
      <c r="AE97" s="691">
        <f t="shared" si="31"/>
        <v>9603011334.2716637</v>
      </c>
      <c r="AF97" s="963">
        <f t="shared" si="28"/>
        <v>2.5000000000000001E-2</v>
      </c>
      <c r="AG97" s="691">
        <f t="shared" si="29"/>
        <v>240075283.35679162</v>
      </c>
      <c r="DA97" s="252"/>
      <c r="DB97" s="252"/>
      <c r="DC97" s="252"/>
      <c r="DD97" s="252"/>
      <c r="DE97" s="252"/>
    </row>
    <row r="98" spans="30:109" x14ac:dyDescent="0.3">
      <c r="AD98" s="960">
        <f t="shared" si="30"/>
        <v>2040</v>
      </c>
      <c r="AE98" s="691">
        <f t="shared" si="31"/>
        <v>9843086617.6284561</v>
      </c>
      <c r="AF98" s="963">
        <f t="shared" si="28"/>
        <v>2.5000000000000001E-2</v>
      </c>
      <c r="AG98" s="691">
        <f t="shared" si="29"/>
        <v>246077165.44071141</v>
      </c>
    </row>
    <row r="99" spans="30:109" x14ac:dyDescent="0.3">
      <c r="AD99" s="960">
        <f t="shared" si="30"/>
        <v>2041</v>
      </c>
      <c r="AE99" s="691">
        <f t="shared" si="31"/>
        <v>10089163783.069168</v>
      </c>
      <c r="AF99" s="963">
        <f t="shared" si="28"/>
        <v>2.5000000000000001E-2</v>
      </c>
      <c r="AG99" s="691">
        <f t="shared" si="29"/>
        <v>252229094.57672921</v>
      </c>
    </row>
    <row r="100" spans="30:109" x14ac:dyDescent="0.3">
      <c r="AD100" s="960">
        <f t="shared" si="30"/>
        <v>2042</v>
      </c>
      <c r="AE100" s="691">
        <f t="shared" si="31"/>
        <v>10341392877.645897</v>
      </c>
      <c r="AF100" s="963">
        <f t="shared" si="28"/>
        <v>2.5000000000000001E-2</v>
      </c>
      <c r="AG100" s="691">
        <f t="shared" si="29"/>
        <v>258534821.94114745</v>
      </c>
    </row>
    <row r="101" spans="30:109" x14ac:dyDescent="0.3">
      <c r="AD101" s="960">
        <f t="shared" si="30"/>
        <v>2043</v>
      </c>
      <c r="AE101" s="691">
        <f t="shared" si="31"/>
        <v>10599927699.587044</v>
      </c>
      <c r="AF101" s="963">
        <f t="shared" si="28"/>
        <v>2.5000000000000001E-2</v>
      </c>
      <c r="AG101" s="691">
        <f t="shared" si="29"/>
        <v>264998192.48967612</v>
      </c>
    </row>
    <row r="102" spans="30:109" x14ac:dyDescent="0.3">
      <c r="AD102" s="960">
        <f t="shared" si="30"/>
        <v>2044</v>
      </c>
      <c r="AE102" s="691">
        <f t="shared" si="31"/>
        <v>10864925892.076719</v>
      </c>
      <c r="AF102" s="963">
        <f t="shared" si="28"/>
        <v>2.5000000000000001E-2</v>
      </c>
      <c r="AG102" s="691">
        <f t="shared" si="29"/>
        <v>271623147.30191797</v>
      </c>
    </row>
    <row r="103" spans="30:109" x14ac:dyDescent="0.3">
      <c r="AD103" s="960">
        <f t="shared" si="30"/>
        <v>2045</v>
      </c>
      <c r="AE103" s="691">
        <f t="shared" si="31"/>
        <v>11136549039.378637</v>
      </c>
      <c r="AF103" s="963">
        <f t="shared" si="28"/>
        <v>2.5000000000000001E-2</v>
      </c>
      <c r="AG103" s="691">
        <f t="shared" si="29"/>
        <v>278413725.98446596</v>
      </c>
    </row>
    <row r="104" spans="30:109" x14ac:dyDescent="0.3">
      <c r="AD104" s="960">
        <f t="shared" si="30"/>
        <v>2046</v>
      </c>
      <c r="AE104" s="691">
        <f t="shared" si="31"/>
        <v>11414962765.363104</v>
      </c>
      <c r="AF104" s="963">
        <f t="shared" si="28"/>
        <v>2.5000000000000001E-2</v>
      </c>
      <c r="AG104" s="691">
        <f t="shared" si="29"/>
        <v>285374069.13407761</v>
      </c>
    </row>
    <row r="105" spans="30:109" x14ac:dyDescent="0.3">
      <c r="AD105" s="960">
        <f t="shared" si="30"/>
        <v>2047</v>
      </c>
      <c r="AE105" s="691">
        <f t="shared" si="31"/>
        <v>11700336834.497181</v>
      </c>
      <c r="AF105" s="963">
        <f t="shared" si="28"/>
        <v>2.5000000000000001E-2</v>
      </c>
      <c r="AG105" s="691">
        <f t="shared" si="29"/>
        <v>292508420.86242956</v>
      </c>
    </row>
    <row r="106" spans="30:109" x14ac:dyDescent="0.3">
      <c r="AD106" s="960">
        <f t="shared" si="30"/>
        <v>2048</v>
      </c>
      <c r="AE106" s="691">
        <f t="shared" si="31"/>
        <v>11992845255.35961</v>
      </c>
      <c r="AF106" s="963">
        <f t="shared" si="28"/>
        <v>2.5000000000000001E-2</v>
      </c>
      <c r="AG106" s="691">
        <f t="shared" si="29"/>
        <v>299821131.38399023</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76023-01A1-4DC2-8338-25EDDEFA95F1}">
  <dimension ref="B1:B2"/>
  <sheetViews>
    <sheetView showGridLines="0" workbookViewId="0">
      <selection activeCell="M16" sqref="M16"/>
    </sheetView>
  </sheetViews>
  <sheetFormatPr defaultRowHeight="14.4" x14ac:dyDescent="0.3"/>
  <sheetData>
    <row r="1" spans="2:2" ht="117" customHeight="1" x14ac:dyDescent="0.3"/>
    <row r="2" spans="2:2" ht="109.2" x14ac:dyDescent="2.5">
      <c r="B2" s="892" t="s">
        <v>1274</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8E05E-85C3-490E-B7F5-7BC0158737D6}">
  <dimension ref="A1:K51"/>
  <sheetViews>
    <sheetView workbookViewId="0">
      <selection activeCell="D22" sqref="D22"/>
    </sheetView>
  </sheetViews>
  <sheetFormatPr defaultColWidth="8.88671875" defaultRowHeight="15.6" x14ac:dyDescent="0.3"/>
  <cols>
    <col min="1" max="1" width="7.6640625" style="1" customWidth="1"/>
    <col min="2" max="2" width="16.88671875" style="1" customWidth="1"/>
    <col min="3" max="3" width="19.5546875" style="1" bestFit="1" customWidth="1"/>
    <col min="4" max="10" width="22.33203125" style="1" customWidth="1"/>
    <col min="11" max="11" width="85.33203125" style="1" bestFit="1" customWidth="1"/>
    <col min="12" max="16384" width="8.88671875" style="1"/>
  </cols>
  <sheetData>
    <row r="1" spans="1:11" x14ac:dyDescent="0.3">
      <c r="A1" s="88"/>
      <c r="B1" s="88"/>
      <c r="C1" s="242">
        <v>1</v>
      </c>
      <c r="D1" s="231">
        <v>2</v>
      </c>
      <c r="E1" s="243">
        <v>3</v>
      </c>
      <c r="F1" s="246">
        <v>4</v>
      </c>
      <c r="G1" s="241">
        <v>5</v>
      </c>
      <c r="H1" s="240">
        <v>6</v>
      </c>
      <c r="I1" s="232">
        <v>7</v>
      </c>
      <c r="J1" s="258">
        <v>8</v>
      </c>
    </row>
    <row r="2" spans="1:11" x14ac:dyDescent="0.3">
      <c r="A2" s="88"/>
      <c r="B2" s="88"/>
      <c r="C2" s="242" t="s">
        <v>626</v>
      </c>
      <c r="D2" s="231" t="s">
        <v>596</v>
      </c>
      <c r="E2" s="243" t="s">
        <v>614</v>
      </c>
      <c r="F2" s="246" t="s">
        <v>616</v>
      </c>
      <c r="G2" s="241" t="s">
        <v>617</v>
      </c>
      <c r="H2" s="240" t="s">
        <v>618</v>
      </c>
      <c r="I2" s="232" t="s">
        <v>621</v>
      </c>
      <c r="J2" s="258" t="s">
        <v>626</v>
      </c>
    </row>
    <row r="3" spans="1:11" x14ac:dyDescent="0.3">
      <c r="A3" s="88"/>
      <c r="B3" s="88"/>
      <c r="C3" s="242" t="s">
        <v>102</v>
      </c>
      <c r="D3" s="231" t="s">
        <v>625</v>
      </c>
      <c r="E3" s="243" t="s">
        <v>613</v>
      </c>
      <c r="F3" s="246" t="s">
        <v>615</v>
      </c>
      <c r="G3" s="241" t="s">
        <v>602</v>
      </c>
      <c r="H3" s="240" t="s">
        <v>620</v>
      </c>
      <c r="I3" s="232" t="s">
        <v>622</v>
      </c>
      <c r="J3" s="258" t="s">
        <v>624</v>
      </c>
    </row>
    <row r="4" spans="1:11" s="234" customFormat="1" ht="27.6" x14ac:dyDescent="0.65">
      <c r="A4" s="234" t="s">
        <v>597</v>
      </c>
      <c r="C4" s="262" t="s">
        <v>609</v>
      </c>
      <c r="D4" s="263">
        <v>2</v>
      </c>
      <c r="E4" s="264" t="s">
        <v>609</v>
      </c>
      <c r="F4" s="265">
        <v>2</v>
      </c>
      <c r="G4" s="266">
        <v>5</v>
      </c>
      <c r="H4" s="267">
        <v>3</v>
      </c>
      <c r="I4" s="268">
        <v>4</v>
      </c>
      <c r="J4" s="269">
        <v>1</v>
      </c>
      <c r="K4" s="270">
        <f>SUM(C4:J4)</f>
        <v>17</v>
      </c>
    </row>
    <row r="5" spans="1:11" s="12" customFormat="1" x14ac:dyDescent="0.3"/>
    <row r="6" spans="1:11" s="234" customFormat="1" ht="27.6" x14ac:dyDescent="0.65">
      <c r="A6" s="234" t="s">
        <v>608</v>
      </c>
      <c r="C6" s="262" t="s">
        <v>609</v>
      </c>
      <c r="D6" s="263" t="s">
        <v>610</v>
      </c>
      <c r="E6" s="264" t="s">
        <v>609</v>
      </c>
      <c r="F6" s="265" t="s">
        <v>610</v>
      </c>
      <c r="G6" s="266" t="s">
        <v>610</v>
      </c>
      <c r="H6" s="267" t="s">
        <v>610</v>
      </c>
      <c r="I6" s="268" t="s">
        <v>610</v>
      </c>
      <c r="J6" s="269" t="s">
        <v>610</v>
      </c>
      <c r="K6" s="270">
        <f>SUM(C6:J6)</f>
        <v>0</v>
      </c>
    </row>
    <row r="7" spans="1:11" s="12" customFormat="1" x14ac:dyDescent="0.3"/>
    <row r="8" spans="1:11" s="12" customFormat="1" x14ac:dyDescent="0.3">
      <c r="B8" s="1" t="s">
        <v>597</v>
      </c>
      <c r="E8" s="254" t="s">
        <v>608</v>
      </c>
    </row>
    <row r="9" spans="1:11" s="12" customFormat="1" x14ac:dyDescent="0.3">
      <c r="A9" s="1">
        <v>1</v>
      </c>
      <c r="B9" s="259" t="s">
        <v>103</v>
      </c>
      <c r="C9" s="271">
        <v>2020</v>
      </c>
      <c r="D9" s="1">
        <f>A24+1</f>
        <v>17</v>
      </c>
      <c r="E9" s="280" t="s">
        <v>605</v>
      </c>
      <c r="F9" s="271">
        <v>2027</v>
      </c>
      <c r="G9" s="106"/>
    </row>
    <row r="10" spans="1:11" s="12" customFormat="1" x14ac:dyDescent="0.3">
      <c r="A10" s="1">
        <f>A9+1</f>
        <v>2</v>
      </c>
      <c r="B10" s="259" t="s">
        <v>194</v>
      </c>
      <c r="C10" s="271">
        <v>2022</v>
      </c>
      <c r="D10" s="1">
        <f>D9+1</f>
        <v>18</v>
      </c>
      <c r="E10" s="280" t="s">
        <v>106</v>
      </c>
      <c r="F10" s="271">
        <v>2027</v>
      </c>
      <c r="G10" s="106"/>
    </row>
    <row r="11" spans="1:11" x14ac:dyDescent="0.3">
      <c r="A11" s="1">
        <f t="shared" ref="A11:A24" si="0">A10+1</f>
        <v>3</v>
      </c>
      <c r="B11" s="244" t="s">
        <v>598</v>
      </c>
      <c r="C11" s="272">
        <v>2023</v>
      </c>
      <c r="D11" s="1">
        <f t="shared" ref="D11:D24" si="1">D10+1</f>
        <v>19</v>
      </c>
      <c r="E11" s="280" t="s">
        <v>628</v>
      </c>
      <c r="F11" s="271">
        <v>2027</v>
      </c>
      <c r="G11" s="106"/>
    </row>
    <row r="12" spans="1:11" x14ac:dyDescent="0.3">
      <c r="A12" s="1">
        <f t="shared" si="0"/>
        <v>4</v>
      </c>
      <c r="B12" s="245" t="s">
        <v>600</v>
      </c>
      <c r="C12" s="273">
        <v>2024</v>
      </c>
      <c r="D12" s="1">
        <f t="shared" si="1"/>
        <v>20</v>
      </c>
      <c r="E12" s="255" t="s">
        <v>631</v>
      </c>
      <c r="F12" s="279">
        <v>2027</v>
      </c>
      <c r="G12" s="106"/>
    </row>
    <row r="13" spans="1:11" x14ac:dyDescent="0.3">
      <c r="A13" s="1">
        <f t="shared" si="0"/>
        <v>5</v>
      </c>
      <c r="B13" s="249" t="s">
        <v>601</v>
      </c>
      <c r="C13" s="274">
        <v>2024</v>
      </c>
      <c r="D13" s="1">
        <f t="shared" si="1"/>
        <v>21</v>
      </c>
      <c r="E13" s="255" t="s">
        <v>635</v>
      </c>
      <c r="F13" s="279">
        <v>2027</v>
      </c>
      <c r="G13" s="106"/>
    </row>
    <row r="14" spans="1:11" x14ac:dyDescent="0.3">
      <c r="A14" s="1">
        <f t="shared" si="0"/>
        <v>6</v>
      </c>
      <c r="B14" s="148" t="s">
        <v>603</v>
      </c>
      <c r="C14" s="275">
        <v>2024</v>
      </c>
      <c r="D14" s="1">
        <f t="shared" si="1"/>
        <v>22</v>
      </c>
      <c r="E14" s="255" t="s">
        <v>105</v>
      </c>
      <c r="F14" s="279">
        <v>2027</v>
      </c>
      <c r="G14" s="106"/>
    </row>
    <row r="15" spans="1:11" x14ac:dyDescent="0.3">
      <c r="A15" s="1">
        <f t="shared" si="0"/>
        <v>7</v>
      </c>
      <c r="B15" s="148" t="s">
        <v>604</v>
      </c>
      <c r="C15" s="275">
        <v>2024</v>
      </c>
      <c r="D15" s="1">
        <f t="shared" si="1"/>
        <v>23</v>
      </c>
      <c r="E15" s="253" t="s">
        <v>632</v>
      </c>
      <c r="F15" s="279">
        <v>2027</v>
      </c>
      <c r="G15" s="106"/>
    </row>
    <row r="16" spans="1:11" x14ac:dyDescent="0.3">
      <c r="A16" s="1">
        <f t="shared" si="0"/>
        <v>8</v>
      </c>
      <c r="B16" s="249" t="s">
        <v>599</v>
      </c>
      <c r="C16" s="274">
        <v>2024</v>
      </c>
      <c r="D16" s="1">
        <f t="shared" si="1"/>
        <v>24</v>
      </c>
      <c r="E16" s="255" t="s">
        <v>636</v>
      </c>
      <c r="F16" s="279">
        <v>2027</v>
      </c>
      <c r="G16" s="106"/>
    </row>
    <row r="17" spans="1:11" x14ac:dyDescent="0.3">
      <c r="A17" s="1">
        <f t="shared" si="0"/>
        <v>9</v>
      </c>
      <c r="B17" s="204" t="s">
        <v>611</v>
      </c>
      <c r="C17" s="276">
        <v>2025</v>
      </c>
      <c r="D17" s="1">
        <f t="shared" si="1"/>
        <v>25</v>
      </c>
      <c r="E17" s="253" t="s">
        <v>637</v>
      </c>
      <c r="F17" s="279">
        <v>2028</v>
      </c>
      <c r="G17" s="106"/>
    </row>
    <row r="18" spans="1:11" x14ac:dyDescent="0.3">
      <c r="A18" s="1">
        <f t="shared" si="0"/>
        <v>10</v>
      </c>
      <c r="B18" s="260" t="s">
        <v>605</v>
      </c>
      <c r="C18" s="241">
        <v>2025</v>
      </c>
      <c r="D18" s="1">
        <f t="shared" si="1"/>
        <v>26</v>
      </c>
      <c r="E18" s="1" t="s">
        <v>638</v>
      </c>
      <c r="F18" s="279">
        <v>2028</v>
      </c>
      <c r="G18" s="106"/>
    </row>
    <row r="19" spans="1:11" x14ac:dyDescent="0.3">
      <c r="A19" s="1">
        <f t="shared" si="0"/>
        <v>11</v>
      </c>
      <c r="B19" s="261" t="s">
        <v>606</v>
      </c>
      <c r="C19" s="241">
        <v>2025</v>
      </c>
      <c r="D19" s="1">
        <f t="shared" si="1"/>
        <v>27</v>
      </c>
      <c r="E19" s="253" t="s">
        <v>639</v>
      </c>
      <c r="F19" s="279">
        <v>2028</v>
      </c>
      <c r="G19" s="106"/>
    </row>
    <row r="20" spans="1:11" x14ac:dyDescent="0.3">
      <c r="A20" s="1">
        <f t="shared" si="0"/>
        <v>12</v>
      </c>
      <c r="B20" s="261" t="s">
        <v>612</v>
      </c>
      <c r="C20" s="241">
        <v>2025</v>
      </c>
      <c r="D20" s="1">
        <f t="shared" si="1"/>
        <v>28</v>
      </c>
      <c r="E20" s="253" t="s">
        <v>640</v>
      </c>
      <c r="F20" s="279">
        <v>2028</v>
      </c>
      <c r="G20" s="106"/>
    </row>
    <row r="21" spans="1:11" x14ac:dyDescent="0.3">
      <c r="A21" s="1">
        <f t="shared" si="0"/>
        <v>13</v>
      </c>
      <c r="B21" s="239" t="s">
        <v>607</v>
      </c>
      <c r="C21" s="240">
        <v>2026</v>
      </c>
      <c r="D21" s="1">
        <f t="shared" si="1"/>
        <v>29</v>
      </c>
      <c r="E21" s="255" t="s">
        <v>629</v>
      </c>
      <c r="F21" s="279">
        <v>2028</v>
      </c>
      <c r="G21" s="106"/>
    </row>
    <row r="22" spans="1:11" x14ac:dyDescent="0.3">
      <c r="A22" s="1">
        <f t="shared" si="0"/>
        <v>14</v>
      </c>
      <c r="B22" s="239" t="s">
        <v>682</v>
      </c>
      <c r="C22" s="277">
        <v>2026</v>
      </c>
      <c r="D22" s="1">
        <f t="shared" si="1"/>
        <v>30</v>
      </c>
      <c r="E22" s="257" t="s">
        <v>630</v>
      </c>
      <c r="F22" s="271">
        <v>2028</v>
      </c>
      <c r="G22" s="106"/>
    </row>
    <row r="23" spans="1:11" x14ac:dyDescent="0.3">
      <c r="A23" s="1">
        <f t="shared" si="0"/>
        <v>15</v>
      </c>
      <c r="B23" s="248" t="s">
        <v>683</v>
      </c>
      <c r="C23" s="240">
        <v>2026</v>
      </c>
      <c r="D23" s="1">
        <f t="shared" si="1"/>
        <v>31</v>
      </c>
      <c r="E23" s="253" t="s">
        <v>634</v>
      </c>
      <c r="F23" s="279">
        <v>2028</v>
      </c>
      <c r="G23" s="106"/>
    </row>
    <row r="24" spans="1:11" x14ac:dyDescent="0.3">
      <c r="A24" s="1">
        <f t="shared" si="0"/>
        <v>16</v>
      </c>
      <c r="B24" s="230" t="s">
        <v>619</v>
      </c>
      <c r="C24" s="278">
        <v>2026</v>
      </c>
      <c r="D24" s="1">
        <f t="shared" si="1"/>
        <v>32</v>
      </c>
      <c r="E24" s="253" t="s">
        <v>107</v>
      </c>
      <c r="F24" s="279">
        <v>2028</v>
      </c>
      <c r="G24" s="106"/>
    </row>
    <row r="26" spans="1:11" x14ac:dyDescent="0.3">
      <c r="B26" s="1" t="s">
        <v>627</v>
      </c>
      <c r="G26" s="1" t="s">
        <v>633</v>
      </c>
    </row>
    <row r="28" spans="1:11" x14ac:dyDescent="0.3">
      <c r="A28" s="88"/>
      <c r="B28" s="88"/>
      <c r="C28" s="242">
        <v>1</v>
      </c>
      <c r="D28" s="231">
        <v>2</v>
      </c>
      <c r="E28" s="243">
        <v>3</v>
      </c>
      <c r="F28" s="246">
        <v>4</v>
      </c>
      <c r="G28" s="241">
        <v>5</v>
      </c>
      <c r="H28" s="240">
        <v>6</v>
      </c>
      <c r="I28" s="232">
        <v>7</v>
      </c>
      <c r="J28" s="258">
        <v>8</v>
      </c>
    </row>
    <row r="29" spans="1:11" x14ac:dyDescent="0.3">
      <c r="A29" s="88"/>
      <c r="B29" s="88"/>
      <c r="C29" s="242" t="s">
        <v>626</v>
      </c>
      <c r="D29" s="231" t="s">
        <v>596</v>
      </c>
      <c r="E29" s="243" t="s">
        <v>614</v>
      </c>
      <c r="F29" s="246" t="s">
        <v>616</v>
      </c>
      <c r="G29" s="241" t="s">
        <v>617</v>
      </c>
      <c r="H29" s="240" t="s">
        <v>618</v>
      </c>
      <c r="I29" s="232" t="s">
        <v>621</v>
      </c>
      <c r="J29" s="258" t="s">
        <v>623</v>
      </c>
    </row>
    <row r="30" spans="1:11" x14ac:dyDescent="0.3">
      <c r="A30" s="88"/>
      <c r="B30" s="88"/>
      <c r="C30" s="242" t="s">
        <v>102</v>
      </c>
      <c r="D30" s="231" t="s">
        <v>625</v>
      </c>
      <c r="E30" s="243" t="s">
        <v>613</v>
      </c>
      <c r="F30" s="246" t="s">
        <v>615</v>
      </c>
      <c r="G30" s="241" t="s">
        <v>602</v>
      </c>
      <c r="H30" s="240" t="s">
        <v>620</v>
      </c>
      <c r="I30" s="232" t="s">
        <v>622</v>
      </c>
      <c r="J30" s="258" t="s">
        <v>624</v>
      </c>
    </row>
    <row r="31" spans="1:11" ht="27.6" x14ac:dyDescent="0.65">
      <c r="A31" s="234" t="s">
        <v>597</v>
      </c>
      <c r="B31" s="234"/>
      <c r="C31" s="262" t="s">
        <v>609</v>
      </c>
      <c r="D31" s="263">
        <v>2</v>
      </c>
      <c r="E31" s="264" t="s">
        <v>609</v>
      </c>
      <c r="F31" s="265">
        <v>2</v>
      </c>
      <c r="G31" s="266">
        <v>5</v>
      </c>
      <c r="H31" s="267">
        <v>3</v>
      </c>
      <c r="I31" s="268">
        <v>4</v>
      </c>
      <c r="J31" s="269">
        <v>1</v>
      </c>
      <c r="K31" s="270">
        <f>SUM(C31:J31)</f>
        <v>17</v>
      </c>
    </row>
    <row r="32" spans="1:11" x14ac:dyDescent="0.3">
      <c r="A32" s="12"/>
      <c r="B32" s="12"/>
      <c r="C32" s="12"/>
      <c r="D32" s="12"/>
      <c r="E32" s="12"/>
      <c r="F32" s="12"/>
      <c r="G32" s="12"/>
      <c r="H32" s="12"/>
      <c r="I32" s="12"/>
      <c r="J32" s="12"/>
      <c r="K32" s="12"/>
    </row>
    <row r="33" spans="1:11" ht="27.6" x14ac:dyDescent="0.65">
      <c r="A33" s="234" t="s">
        <v>608</v>
      </c>
      <c r="B33" s="234"/>
      <c r="C33" s="262" t="s">
        <v>609</v>
      </c>
      <c r="D33" s="263" t="s">
        <v>610</v>
      </c>
      <c r="E33" s="264" t="s">
        <v>609</v>
      </c>
      <c r="F33" s="265" t="s">
        <v>610</v>
      </c>
      <c r="G33" s="266" t="s">
        <v>610</v>
      </c>
      <c r="H33" s="267" t="s">
        <v>610</v>
      </c>
      <c r="I33" s="268" t="s">
        <v>610</v>
      </c>
      <c r="J33" s="269" t="s">
        <v>610</v>
      </c>
      <c r="K33" s="270">
        <f>SUM(C33:J33)</f>
        <v>0</v>
      </c>
    </row>
    <row r="34" spans="1:11" x14ac:dyDescent="0.3">
      <c r="A34" s="12"/>
      <c r="B34" s="12"/>
      <c r="C34" s="12"/>
      <c r="D34" s="12"/>
      <c r="E34" s="12"/>
      <c r="F34" s="12"/>
      <c r="G34" s="12"/>
      <c r="H34" s="12"/>
      <c r="I34" s="12"/>
      <c r="J34" s="12"/>
      <c r="K34" s="12"/>
    </row>
    <row r="35" spans="1:11" x14ac:dyDescent="0.3">
      <c r="A35" s="12"/>
      <c r="B35" s="1" t="s">
        <v>597</v>
      </c>
      <c r="C35" s="12"/>
      <c r="D35" s="12"/>
      <c r="E35" s="254" t="s">
        <v>608</v>
      </c>
      <c r="F35" s="12"/>
      <c r="G35" s="12"/>
      <c r="H35" s="12"/>
      <c r="I35" s="12"/>
      <c r="J35" s="12"/>
      <c r="K35" s="12"/>
    </row>
    <row r="36" spans="1:11" x14ac:dyDescent="0.3">
      <c r="A36" s="1">
        <v>1</v>
      </c>
      <c r="B36" s="259"/>
      <c r="C36" s="271">
        <v>2020</v>
      </c>
      <c r="D36" s="1">
        <v>1</v>
      </c>
      <c r="E36" s="255" t="s">
        <v>104</v>
      </c>
      <c r="F36" s="279">
        <v>2027</v>
      </c>
      <c r="G36" s="106"/>
      <c r="H36" s="12"/>
      <c r="I36" s="12"/>
      <c r="J36" s="12"/>
      <c r="K36" s="12"/>
    </row>
    <row r="37" spans="1:11" x14ac:dyDescent="0.3">
      <c r="A37" s="1">
        <f>A36+1</f>
        <v>2</v>
      </c>
      <c r="B37" s="259"/>
      <c r="C37" s="271">
        <v>2022</v>
      </c>
      <c r="D37" s="1">
        <f>D36+1</f>
        <v>2</v>
      </c>
      <c r="E37" s="1" t="s">
        <v>108</v>
      </c>
      <c r="F37" s="279">
        <v>2027</v>
      </c>
      <c r="G37" s="106"/>
      <c r="H37" s="12"/>
      <c r="I37" s="12"/>
      <c r="J37" s="12"/>
      <c r="K37" s="12"/>
    </row>
    <row r="38" spans="1:11" x14ac:dyDescent="0.3">
      <c r="A38" s="1">
        <f t="shared" ref="A38:A51" si="2">A37+1</f>
        <v>3</v>
      </c>
      <c r="B38" s="244"/>
      <c r="C38" s="272">
        <v>2023</v>
      </c>
      <c r="D38" s="1">
        <f t="shared" ref="D38:D51" si="3">D37+1</f>
        <v>3</v>
      </c>
      <c r="E38" s="255"/>
      <c r="F38" s="279">
        <v>2027</v>
      </c>
      <c r="G38" s="106"/>
    </row>
    <row r="39" spans="1:11" x14ac:dyDescent="0.3">
      <c r="A39" s="1">
        <f t="shared" si="2"/>
        <v>4</v>
      </c>
      <c r="B39" s="245"/>
      <c r="C39" s="273">
        <v>2024</v>
      </c>
      <c r="D39" s="1">
        <f t="shared" si="3"/>
        <v>4</v>
      </c>
      <c r="F39" s="279">
        <v>2027</v>
      </c>
      <c r="G39" s="106"/>
    </row>
    <row r="40" spans="1:11" x14ac:dyDescent="0.3">
      <c r="A40" s="1">
        <f t="shared" si="2"/>
        <v>5</v>
      </c>
      <c r="B40" s="249"/>
      <c r="C40" s="274">
        <v>2024</v>
      </c>
      <c r="D40" s="1">
        <f t="shared" si="3"/>
        <v>5</v>
      </c>
      <c r="E40" s="255"/>
      <c r="F40" s="279">
        <v>2027</v>
      </c>
      <c r="G40" s="106"/>
    </row>
    <row r="41" spans="1:11" x14ac:dyDescent="0.3">
      <c r="A41" s="1">
        <f t="shared" si="2"/>
        <v>6</v>
      </c>
      <c r="B41" s="148"/>
      <c r="C41" s="275">
        <v>2024</v>
      </c>
      <c r="D41" s="1">
        <f t="shared" si="3"/>
        <v>6</v>
      </c>
      <c r="E41" s="255"/>
      <c r="F41" s="279">
        <v>2027</v>
      </c>
      <c r="G41" s="106"/>
    </row>
    <row r="42" spans="1:11" x14ac:dyDescent="0.3">
      <c r="A42" s="1">
        <f t="shared" si="2"/>
        <v>7</v>
      </c>
      <c r="B42" s="148"/>
      <c r="C42" s="275">
        <v>2024</v>
      </c>
      <c r="D42" s="1">
        <f t="shared" si="3"/>
        <v>7</v>
      </c>
      <c r="E42" s="255"/>
      <c r="F42" s="279">
        <v>2027</v>
      </c>
      <c r="G42" s="106"/>
    </row>
    <row r="43" spans="1:11" x14ac:dyDescent="0.3">
      <c r="A43" s="1">
        <f t="shared" si="2"/>
        <v>8</v>
      </c>
      <c r="B43" s="249"/>
      <c r="C43" s="274">
        <v>2024</v>
      </c>
      <c r="D43" s="1">
        <f t="shared" si="3"/>
        <v>8</v>
      </c>
      <c r="E43" s="255"/>
      <c r="F43" s="279">
        <v>2027</v>
      </c>
      <c r="G43" s="106"/>
    </row>
    <row r="44" spans="1:11" x14ac:dyDescent="0.3">
      <c r="A44" s="1">
        <f t="shared" si="2"/>
        <v>9</v>
      </c>
      <c r="B44" s="204"/>
      <c r="C44" s="276">
        <v>2025</v>
      </c>
      <c r="D44" s="1">
        <f t="shared" si="3"/>
        <v>9</v>
      </c>
      <c r="E44" s="253"/>
      <c r="F44" s="279">
        <v>2028</v>
      </c>
      <c r="G44" s="106"/>
    </row>
    <row r="45" spans="1:11" x14ac:dyDescent="0.3">
      <c r="A45" s="1">
        <f t="shared" si="2"/>
        <v>10</v>
      </c>
      <c r="B45" s="260"/>
      <c r="C45" s="241">
        <v>2025</v>
      </c>
      <c r="D45" s="1">
        <f t="shared" si="3"/>
        <v>10</v>
      </c>
      <c r="E45" s="253"/>
      <c r="F45" s="279">
        <v>2028</v>
      </c>
      <c r="G45" s="106"/>
    </row>
    <row r="46" spans="1:11" x14ac:dyDescent="0.3">
      <c r="A46" s="1">
        <f t="shared" si="2"/>
        <v>11</v>
      </c>
      <c r="B46" s="261"/>
      <c r="C46" s="241">
        <v>2025</v>
      </c>
      <c r="D46" s="1">
        <f t="shared" si="3"/>
        <v>11</v>
      </c>
      <c r="E46" s="253"/>
      <c r="F46" s="279">
        <v>2028</v>
      </c>
      <c r="G46" s="106"/>
    </row>
    <row r="47" spans="1:11" x14ac:dyDescent="0.3">
      <c r="A47" s="1">
        <f t="shared" si="2"/>
        <v>12</v>
      </c>
      <c r="B47" s="261"/>
      <c r="C47" s="241">
        <v>2025</v>
      </c>
      <c r="D47" s="1">
        <f t="shared" si="3"/>
        <v>12</v>
      </c>
      <c r="E47" s="253"/>
      <c r="F47" s="279">
        <v>2028</v>
      </c>
      <c r="G47" s="106"/>
    </row>
    <row r="48" spans="1:11" x14ac:dyDescent="0.3">
      <c r="A48" s="1">
        <f t="shared" si="2"/>
        <v>13</v>
      </c>
      <c r="B48" s="239"/>
      <c r="C48" s="240">
        <v>2026</v>
      </c>
      <c r="D48" s="1">
        <f t="shared" si="3"/>
        <v>13</v>
      </c>
      <c r="E48" s="255"/>
      <c r="F48" s="279">
        <v>2028</v>
      </c>
      <c r="G48" s="106"/>
    </row>
    <row r="49" spans="1:7" x14ac:dyDescent="0.3">
      <c r="A49" s="1">
        <f t="shared" si="2"/>
        <v>14</v>
      </c>
      <c r="B49" s="239"/>
      <c r="C49" s="277">
        <v>2026</v>
      </c>
      <c r="D49" s="1">
        <f t="shared" si="3"/>
        <v>14</v>
      </c>
      <c r="E49" s="253"/>
      <c r="F49" s="279">
        <v>2028</v>
      </c>
      <c r="G49" s="106"/>
    </row>
    <row r="50" spans="1:7" x14ac:dyDescent="0.3">
      <c r="A50" s="1">
        <f t="shared" si="2"/>
        <v>15</v>
      </c>
      <c r="B50" s="248"/>
      <c r="C50" s="240">
        <v>2026</v>
      </c>
      <c r="D50" s="1">
        <f t="shared" si="3"/>
        <v>15</v>
      </c>
      <c r="E50" s="253"/>
      <c r="F50" s="279">
        <v>2028</v>
      </c>
      <c r="G50" s="106"/>
    </row>
    <row r="51" spans="1:7" x14ac:dyDescent="0.3">
      <c r="A51" s="1">
        <f t="shared" si="2"/>
        <v>16</v>
      </c>
      <c r="B51" s="230"/>
      <c r="C51" s="278">
        <v>2026</v>
      </c>
      <c r="D51" s="1">
        <f t="shared" si="3"/>
        <v>16</v>
      </c>
      <c r="E51" s="253"/>
      <c r="F51" s="279">
        <v>2028</v>
      </c>
      <c r="G51" s="106"/>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37C6E-8A0A-4904-A3C5-7299C5FBBBB7}">
  <dimension ref="A2:L42"/>
  <sheetViews>
    <sheetView workbookViewId="0">
      <selection activeCell="C7" sqref="C7"/>
    </sheetView>
  </sheetViews>
  <sheetFormatPr defaultRowHeight="15.6" x14ac:dyDescent="0.3"/>
  <cols>
    <col min="1" max="1" width="8.88671875" style="38"/>
    <col min="2" max="2" width="9.44140625" style="575" bestFit="1" customWidth="1"/>
    <col min="3" max="3" width="25.77734375" style="1" bestFit="1" customWidth="1"/>
    <col min="4" max="4" width="15.21875" style="1" bestFit="1" customWidth="1"/>
    <col min="5" max="5" width="8.88671875" style="1"/>
    <col min="6" max="6" width="46.44140625" style="1" bestFit="1" customWidth="1"/>
    <col min="7" max="7" width="8.88671875" style="1"/>
    <col min="8" max="8" width="29.6640625" style="1" customWidth="1"/>
    <col min="9" max="9" width="2.6640625" style="1" customWidth="1"/>
    <col min="10" max="10" width="20.77734375" style="1" bestFit="1" customWidth="1"/>
    <col min="11" max="11" width="8.88671875" style="1"/>
    <col min="12" max="12" width="42.33203125" style="1" bestFit="1" customWidth="1"/>
    <col min="13" max="16384" width="8.88671875" style="1"/>
  </cols>
  <sheetData>
    <row r="2" spans="1:12" ht="25.2" x14ac:dyDescent="0.6">
      <c r="B2" s="688">
        <v>2024</v>
      </c>
      <c r="C2" s="687" t="s">
        <v>103</v>
      </c>
      <c r="F2" s="683" t="s">
        <v>896</v>
      </c>
      <c r="G2" s="684"/>
      <c r="H2" s="685" t="s">
        <v>898</v>
      </c>
      <c r="I2" s="685"/>
      <c r="J2" s="681" t="s">
        <v>999</v>
      </c>
      <c r="K2" s="684"/>
      <c r="L2" s="686" t="s">
        <v>897</v>
      </c>
    </row>
    <row r="3" spans="1:12" x14ac:dyDescent="0.3">
      <c r="F3" s="682" t="s">
        <v>766</v>
      </c>
    </row>
    <row r="4" spans="1:12" x14ac:dyDescent="0.3">
      <c r="A4" s="38" t="s">
        <v>273</v>
      </c>
      <c r="B4" s="575">
        <v>1</v>
      </c>
      <c r="C4" s="1" t="s">
        <v>785</v>
      </c>
      <c r="D4" s="1" t="s">
        <v>1004</v>
      </c>
    </row>
    <row r="5" spans="1:12" x14ac:dyDescent="0.3">
      <c r="C5" s="2">
        <f>'POP Dimensions'!C18</f>
        <v>5497558138.8800001</v>
      </c>
      <c r="D5" s="30">
        <v>0.125</v>
      </c>
    </row>
    <row r="6" spans="1:12" x14ac:dyDescent="0.3">
      <c r="A6" s="38" t="s">
        <v>273</v>
      </c>
      <c r="B6" s="575">
        <v>2</v>
      </c>
      <c r="C6" s="1" t="s">
        <v>762</v>
      </c>
      <c r="D6" s="30" t="s">
        <v>1006</v>
      </c>
    </row>
    <row r="7" spans="1:12" x14ac:dyDescent="0.3">
      <c r="C7" s="2">
        <f>'POP Dimensions'!J15</f>
        <v>21474836.48</v>
      </c>
      <c r="D7" s="30">
        <v>0.25</v>
      </c>
    </row>
    <row r="8" spans="1:12" x14ac:dyDescent="0.3">
      <c r="A8" s="575" t="s">
        <v>757</v>
      </c>
      <c r="C8" s="2"/>
      <c r="D8" s="30"/>
    </row>
    <row r="9" spans="1:12" x14ac:dyDescent="0.3">
      <c r="A9" s="38" t="s">
        <v>273</v>
      </c>
      <c r="B9" s="575">
        <v>3</v>
      </c>
      <c r="C9" s="2" t="s">
        <v>1022</v>
      </c>
      <c r="D9" s="30"/>
    </row>
    <row r="10" spans="1:12" x14ac:dyDescent="0.3">
      <c r="A10" s="575"/>
      <c r="C10" s="2">
        <f>'POP Dimensions'!L16</f>
        <v>343597383.68000001</v>
      </c>
      <c r="D10" s="30"/>
    </row>
    <row r="11" spans="1:12" x14ac:dyDescent="0.3">
      <c r="A11" s="575"/>
      <c r="C11" s="2" t="s">
        <v>1023</v>
      </c>
      <c r="D11" s="30"/>
    </row>
    <row r="12" spans="1:12" x14ac:dyDescent="0.3">
      <c r="A12" s="575"/>
      <c r="C12" s="2"/>
      <c r="D12" s="30"/>
    </row>
    <row r="13" spans="1:12" x14ac:dyDescent="0.3">
      <c r="A13" s="38" t="s">
        <v>273</v>
      </c>
      <c r="B13" s="575" t="s">
        <v>1007</v>
      </c>
      <c r="C13" s="689" t="s">
        <v>758</v>
      </c>
      <c r="D13" s="30"/>
    </row>
    <row r="14" spans="1:12" x14ac:dyDescent="0.3">
      <c r="A14" s="575"/>
      <c r="C14" s="2">
        <f>'POP Dimensions'!C16</f>
        <v>85899345.920000002</v>
      </c>
      <c r="D14" s="30"/>
    </row>
    <row r="15" spans="1:12" x14ac:dyDescent="0.3">
      <c r="A15" s="575"/>
      <c r="C15" s="2" t="s">
        <v>1024</v>
      </c>
      <c r="D15" s="30"/>
    </row>
    <row r="16" spans="1:12" x14ac:dyDescent="0.3">
      <c r="A16" s="575"/>
      <c r="C16" s="2"/>
      <c r="D16" s="30"/>
    </row>
    <row r="17" spans="1:4" x14ac:dyDescent="0.3">
      <c r="A17" s="575"/>
      <c r="C17" s="2"/>
      <c r="D17" s="30"/>
    </row>
    <row r="18" spans="1:4" x14ac:dyDescent="0.3">
      <c r="A18" s="38" t="s">
        <v>273</v>
      </c>
      <c r="B18" s="575" t="s">
        <v>1007</v>
      </c>
      <c r="C18" s="1" t="s">
        <v>1019</v>
      </c>
      <c r="D18" s="30" t="s">
        <v>1006</v>
      </c>
    </row>
    <row r="19" spans="1:4" x14ac:dyDescent="0.3">
      <c r="C19" s="2">
        <f>'POP Dimensions'!J16</f>
        <v>171798691.84</v>
      </c>
      <c r="D19" s="18">
        <v>0.25</v>
      </c>
    </row>
    <row r="20" spans="1:4" x14ac:dyDescent="0.3">
      <c r="A20" s="38" t="s">
        <v>273</v>
      </c>
      <c r="B20" s="575" t="s">
        <v>1021</v>
      </c>
      <c r="C20" s="1" t="s">
        <v>1020</v>
      </c>
      <c r="D20" s="30" t="s">
        <v>1006</v>
      </c>
    </row>
    <row r="21" spans="1:4" x14ac:dyDescent="0.3">
      <c r="C21" s="2">
        <f>'POP Dimensions'!L16</f>
        <v>343597383.68000001</v>
      </c>
      <c r="D21" s="18">
        <v>0.25</v>
      </c>
    </row>
    <row r="22" spans="1:4" x14ac:dyDescent="0.3">
      <c r="A22" s="2" t="s">
        <v>1008</v>
      </c>
      <c r="D22" s="18"/>
    </row>
    <row r="23" spans="1:4" x14ac:dyDescent="0.3">
      <c r="A23" s="38" t="s">
        <v>273</v>
      </c>
      <c r="B23" s="575">
        <v>4</v>
      </c>
      <c r="C23" s="1" t="s">
        <v>1005</v>
      </c>
      <c r="D23" s="30" t="s">
        <v>1006</v>
      </c>
    </row>
    <row r="24" spans="1:4" x14ac:dyDescent="0.3">
      <c r="C24" s="2">
        <f>'POP Dimensions'!J17</f>
        <v>1374389534.72</v>
      </c>
      <c r="D24" s="18">
        <v>0</v>
      </c>
    </row>
    <row r="25" spans="1:4" x14ac:dyDescent="0.3">
      <c r="A25" s="38" t="s">
        <v>273</v>
      </c>
      <c r="B25" s="575" t="s">
        <v>1012</v>
      </c>
      <c r="C25" s="2" t="s">
        <v>57</v>
      </c>
      <c r="D25" s="30" t="s">
        <v>1006</v>
      </c>
    </row>
    <row r="26" spans="1:4" x14ac:dyDescent="0.3">
      <c r="C26" s="2">
        <f>'POP Dimensions'!C16</f>
        <v>85899345.920000002</v>
      </c>
      <c r="D26" s="30">
        <v>0.125</v>
      </c>
    </row>
    <row r="27" spans="1:4" x14ac:dyDescent="0.3">
      <c r="A27" s="38" t="s">
        <v>273</v>
      </c>
      <c r="B27" s="575" t="s">
        <v>1013</v>
      </c>
      <c r="C27" s="1" t="s">
        <v>1009</v>
      </c>
    </row>
    <row r="28" spans="1:4" x14ac:dyDescent="0.3">
      <c r="C28" s="2">
        <f>'POP Dimensions'!N15</f>
        <v>85899345.920000002</v>
      </c>
    </row>
    <row r="29" spans="1:4" x14ac:dyDescent="0.3">
      <c r="A29" s="38" t="s">
        <v>273</v>
      </c>
      <c r="B29" s="575" t="s">
        <v>1014</v>
      </c>
      <c r="C29" s="1" t="s">
        <v>54</v>
      </c>
    </row>
    <row r="30" spans="1:4" x14ac:dyDescent="0.3">
      <c r="C30" s="2">
        <f>'POP Dimensions'!J16</f>
        <v>171798691.84</v>
      </c>
    </row>
    <row r="31" spans="1:4" x14ac:dyDescent="0.3">
      <c r="A31" s="38" t="s">
        <v>273</v>
      </c>
      <c r="B31" s="575" t="s">
        <v>1015</v>
      </c>
      <c r="C31" s="1" t="s">
        <v>1010</v>
      </c>
    </row>
    <row r="32" spans="1:4" x14ac:dyDescent="0.3">
      <c r="C32" s="2">
        <f>'POP Dimensions'!J16</f>
        <v>171798691.84</v>
      </c>
    </row>
    <row r="33" spans="1:3" x14ac:dyDescent="0.3">
      <c r="A33" s="38" t="s">
        <v>273</v>
      </c>
      <c r="B33" s="575" t="s">
        <v>1016</v>
      </c>
      <c r="C33" s="1" t="s">
        <v>211</v>
      </c>
    </row>
    <row r="34" spans="1:3" x14ac:dyDescent="0.3">
      <c r="C34" s="2">
        <v>0</v>
      </c>
    </row>
    <row r="35" spans="1:3" x14ac:dyDescent="0.3">
      <c r="A35" s="38" t="s">
        <v>273</v>
      </c>
      <c r="B35" s="575" t="s">
        <v>1017</v>
      </c>
      <c r="C35" s="1" t="s">
        <v>1011</v>
      </c>
    </row>
    <row r="36" spans="1:3" x14ac:dyDescent="0.3">
      <c r="C36" s="2">
        <f>'POP Dimensions'!H17</f>
        <v>687194767.36000001</v>
      </c>
    </row>
    <row r="37" spans="1:3" x14ac:dyDescent="0.3">
      <c r="C37" s="2">
        <f>SUM(C7:C36)</f>
        <v>3543348019.2000008</v>
      </c>
    </row>
    <row r="38" spans="1:3" x14ac:dyDescent="0.3">
      <c r="A38" s="38" t="s">
        <v>273</v>
      </c>
      <c r="B38" s="575">
        <v>5</v>
      </c>
      <c r="C38" s="1" t="s">
        <v>1001</v>
      </c>
    </row>
    <row r="39" spans="1:3" x14ac:dyDescent="0.3">
      <c r="C39" s="2">
        <f>C37*20%</f>
        <v>708669603.84000015</v>
      </c>
    </row>
    <row r="40" spans="1:3" ht="16.2" thickBot="1" x14ac:dyDescent="0.35">
      <c r="A40" s="38" t="s">
        <v>1018</v>
      </c>
      <c r="C40" s="69">
        <f>C37+C39</f>
        <v>4252017623.0400009</v>
      </c>
    </row>
    <row r="41" spans="1:3" ht="16.2" thickTop="1" x14ac:dyDescent="0.3"/>
    <row r="42" spans="1:3" x14ac:dyDescent="0.3">
      <c r="C42" s="1" t="s">
        <v>1025</v>
      </c>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757A-6AD7-426A-B272-8FC7C8AE51D9}">
  <dimension ref="A2:Y29"/>
  <sheetViews>
    <sheetView workbookViewId="0">
      <selection activeCell="C16" sqref="C16"/>
    </sheetView>
  </sheetViews>
  <sheetFormatPr defaultColWidth="8.88671875" defaultRowHeight="14.4" x14ac:dyDescent="0.3"/>
  <cols>
    <col min="1" max="2" width="8.88671875" style="487"/>
    <col min="3" max="3" width="9" style="487" bestFit="1" customWidth="1"/>
    <col min="4" max="4" width="26.109375" style="487" customWidth="1"/>
    <col min="5" max="5" width="29.6640625" style="487" bestFit="1" customWidth="1"/>
    <col min="6" max="6" width="43.33203125" style="487" customWidth="1"/>
    <col min="7" max="7" width="33" style="487" bestFit="1" customWidth="1"/>
    <col min="8" max="8" width="35.33203125" style="487" bestFit="1" customWidth="1"/>
    <col min="9" max="9" width="40.33203125" style="487" bestFit="1" customWidth="1"/>
    <col min="10" max="10" width="40.33203125" style="487" customWidth="1"/>
    <col min="11" max="11" width="26.6640625" style="487" bestFit="1" customWidth="1"/>
    <col min="12" max="12" width="5.33203125" style="487" bestFit="1" customWidth="1"/>
    <col min="13" max="13" width="5.88671875" style="487" bestFit="1" customWidth="1"/>
    <col min="14" max="14" width="6" style="487" bestFit="1" customWidth="1"/>
    <col min="15" max="15" width="18.6640625" style="487" customWidth="1"/>
    <col min="16" max="16" width="14" style="487" customWidth="1"/>
    <col min="17" max="17" width="4.88671875" style="487" bestFit="1" customWidth="1"/>
    <col min="18" max="18" width="17.5546875" style="487" bestFit="1" customWidth="1"/>
    <col min="19" max="19" width="8.88671875" style="487"/>
    <col min="20" max="20" width="9" style="487" bestFit="1" customWidth="1"/>
    <col min="21" max="21" width="17.5546875" style="487" bestFit="1" customWidth="1"/>
    <col min="22" max="23" width="9" style="487" hidden="1" customWidth="1"/>
    <col min="24" max="24" width="12" style="487" hidden="1" customWidth="1"/>
    <col min="25" max="25" width="23.33203125" style="491" hidden="1" customWidth="1"/>
    <col min="26" max="16384" width="8.88671875" style="487"/>
  </cols>
  <sheetData>
    <row r="2" spans="2:25" x14ac:dyDescent="0.3">
      <c r="B2" s="487" t="s">
        <v>740</v>
      </c>
      <c r="K2" s="488" t="s">
        <v>773</v>
      </c>
      <c r="L2" s="488"/>
      <c r="M2" s="489" t="s">
        <v>775</v>
      </c>
      <c r="N2" s="490" t="s">
        <v>684</v>
      </c>
      <c r="O2" s="489" t="s">
        <v>59</v>
      </c>
      <c r="P2" s="488" t="s">
        <v>784</v>
      </c>
      <c r="Q2" s="488"/>
      <c r="R2" s="488"/>
      <c r="S2" s="489" t="s">
        <v>777</v>
      </c>
      <c r="T2" s="490" t="s">
        <v>684</v>
      </c>
      <c r="U2" s="489" t="s">
        <v>59</v>
      </c>
      <c r="V2" s="487" t="s">
        <v>778</v>
      </c>
    </row>
    <row r="3" spans="2:25" s="489" customFormat="1" ht="15.6" customHeight="1" x14ac:dyDescent="0.3">
      <c r="D3" s="489" t="s">
        <v>785</v>
      </c>
      <c r="E3" s="489" t="s">
        <v>768</v>
      </c>
      <c r="F3" s="489" t="s">
        <v>769</v>
      </c>
      <c r="G3" s="489" t="s">
        <v>770</v>
      </c>
      <c r="H3" s="489" t="s">
        <v>771</v>
      </c>
      <c r="I3" s="489" t="s">
        <v>772</v>
      </c>
      <c r="K3" s="488" t="s">
        <v>786</v>
      </c>
      <c r="L3" s="488" t="s">
        <v>774</v>
      </c>
      <c r="P3" s="488"/>
      <c r="Q3" s="488"/>
      <c r="R3" s="488"/>
      <c r="Y3" s="492"/>
    </row>
    <row r="4" spans="2:25" x14ac:dyDescent="0.3">
      <c r="D4" s="493"/>
      <c r="E4" s="493"/>
      <c r="F4" s="493"/>
      <c r="G4" s="493"/>
      <c r="H4" s="493"/>
      <c r="I4" s="493"/>
      <c r="J4" s="493" t="s">
        <v>779</v>
      </c>
      <c r="K4" s="494">
        <f>'POP Dimensions'!C15</f>
        <v>10737418.24</v>
      </c>
      <c r="L4" s="493"/>
      <c r="M4" s="493"/>
      <c r="N4" s="493"/>
      <c r="O4" s="493"/>
      <c r="P4" s="493"/>
      <c r="Q4" s="493"/>
      <c r="R4" s="493"/>
      <c r="S4" s="493"/>
      <c r="T4" s="493"/>
      <c r="U4" s="493"/>
    </row>
    <row r="5" spans="2:25" x14ac:dyDescent="0.3">
      <c r="C5" s="487">
        <v>2018</v>
      </c>
      <c r="D5" s="495">
        <f>'POP Dimensions'!C15</f>
        <v>10737418.24</v>
      </c>
      <c r="E5" s="496" t="s">
        <v>765</v>
      </c>
      <c r="F5" s="487" t="s">
        <v>767</v>
      </c>
      <c r="K5" s="497" t="s">
        <v>787</v>
      </c>
    </row>
    <row r="6" spans="2:25" x14ac:dyDescent="0.3">
      <c r="C6" s="487">
        <v>2019</v>
      </c>
      <c r="D6" s="495">
        <f>D5*3</f>
        <v>32212254.719999999</v>
      </c>
      <c r="E6" s="496" t="s">
        <v>765</v>
      </c>
      <c r="F6" s="487" t="s">
        <v>766</v>
      </c>
      <c r="J6" s="487">
        <f>C5</f>
        <v>2018</v>
      </c>
      <c r="K6" s="495">
        <f>K4*L6</f>
        <v>5368709.1200000001</v>
      </c>
      <c r="L6" s="487">
        <v>0.5</v>
      </c>
      <c r="M6" s="487" t="s">
        <v>775</v>
      </c>
      <c r="N6" s="498">
        <v>0.6</v>
      </c>
      <c r="O6" s="491">
        <f>K6*N6</f>
        <v>3221225.4720000001</v>
      </c>
      <c r="P6" s="487" t="s">
        <v>776</v>
      </c>
      <c r="Q6" s="498">
        <v>0.15</v>
      </c>
      <c r="R6" s="491">
        <f>K6*Q6</f>
        <v>805306.36800000002</v>
      </c>
      <c r="S6" s="487" t="s">
        <v>777</v>
      </c>
      <c r="T6" s="498">
        <v>0.25</v>
      </c>
      <c r="U6" s="491">
        <f>K6*T6</f>
        <v>1342177.28</v>
      </c>
      <c r="V6" s="498">
        <f>N6+Q6+T6</f>
        <v>1</v>
      </c>
      <c r="W6" s="487">
        <v>8</v>
      </c>
      <c r="X6" s="487">
        <v>8</v>
      </c>
      <c r="Y6" s="491">
        <f>W6*X6</f>
        <v>64</v>
      </c>
    </row>
    <row r="7" spans="2:25" x14ac:dyDescent="0.3">
      <c r="C7" s="487">
        <v>2020</v>
      </c>
      <c r="D7" s="491">
        <v>100000000</v>
      </c>
      <c r="E7" s="499" t="s">
        <v>798</v>
      </c>
      <c r="F7" s="487" t="s">
        <v>791</v>
      </c>
      <c r="G7" s="487" t="s">
        <v>788</v>
      </c>
      <c r="H7" s="500" t="s">
        <v>789</v>
      </c>
      <c r="J7" s="487">
        <f>C6</f>
        <v>2019</v>
      </c>
      <c r="K7" s="495">
        <f>K4*L7</f>
        <v>21474836.48</v>
      </c>
      <c r="L7" s="487">
        <v>2</v>
      </c>
      <c r="M7" s="487" t="s">
        <v>775</v>
      </c>
      <c r="N7" s="498">
        <v>0.25</v>
      </c>
      <c r="O7" s="491">
        <f t="shared" ref="O7:O8" si="0">K7*N7</f>
        <v>5368709.1200000001</v>
      </c>
      <c r="P7" s="487" t="s">
        <v>776</v>
      </c>
      <c r="Q7" s="498">
        <v>0.25</v>
      </c>
      <c r="R7" s="491">
        <f t="shared" ref="R7:R8" si="1">K7*Q7</f>
        <v>5368709.1200000001</v>
      </c>
      <c r="S7" s="487" t="s">
        <v>777</v>
      </c>
      <c r="T7" s="498">
        <v>0.5</v>
      </c>
      <c r="U7" s="491">
        <f t="shared" ref="U7:U8" si="2">K7*T7</f>
        <v>10737418.24</v>
      </c>
      <c r="V7" s="498">
        <f t="shared" ref="V7:V8" si="3">N7+Q7+T7</f>
        <v>1</v>
      </c>
      <c r="W7" s="487">
        <v>8</v>
      </c>
      <c r="X7" s="487">
        <v>16</v>
      </c>
      <c r="Y7" s="491">
        <f t="shared" ref="Y7:Y29" si="4">W7*X7</f>
        <v>128</v>
      </c>
    </row>
    <row r="8" spans="2:25" x14ac:dyDescent="0.3">
      <c r="C8" s="487">
        <v>2021</v>
      </c>
      <c r="D8" s="491">
        <v>650000000</v>
      </c>
      <c r="E8" s="499" t="s">
        <v>764</v>
      </c>
      <c r="F8" s="487" t="s">
        <v>791</v>
      </c>
      <c r="G8" s="487" t="s">
        <v>788</v>
      </c>
      <c r="H8" s="487" t="s">
        <v>155</v>
      </c>
      <c r="J8" s="487">
        <f>C7</f>
        <v>2020</v>
      </c>
      <c r="K8" s="495">
        <f>K4*L8</f>
        <v>42949672.960000001</v>
      </c>
      <c r="L8" s="487">
        <v>4</v>
      </c>
      <c r="M8" s="487" t="s">
        <v>775</v>
      </c>
      <c r="N8" s="498">
        <v>0.2</v>
      </c>
      <c r="O8" s="491">
        <f t="shared" si="0"/>
        <v>8589934.5920000002</v>
      </c>
      <c r="P8" s="487" t="s">
        <v>776</v>
      </c>
      <c r="Q8" s="498">
        <v>0.3</v>
      </c>
      <c r="R8" s="491">
        <f t="shared" si="1"/>
        <v>12884901.888</v>
      </c>
      <c r="S8" s="487" t="s">
        <v>777</v>
      </c>
      <c r="T8" s="498">
        <v>0.5</v>
      </c>
      <c r="U8" s="491">
        <f t="shared" si="2"/>
        <v>21474836.48</v>
      </c>
      <c r="V8" s="498">
        <f t="shared" si="3"/>
        <v>1</v>
      </c>
      <c r="W8" s="487">
        <v>8</v>
      </c>
      <c r="X8" s="487">
        <v>32</v>
      </c>
      <c r="Y8" s="491">
        <f t="shared" si="4"/>
        <v>256</v>
      </c>
    </row>
    <row r="9" spans="2:25" x14ac:dyDescent="0.3">
      <c r="C9" s="487">
        <v>2022</v>
      </c>
      <c r="D9" s="491">
        <v>1250000000</v>
      </c>
      <c r="E9" s="499" t="s">
        <v>763</v>
      </c>
      <c r="F9" s="487" t="s">
        <v>791</v>
      </c>
      <c r="G9" s="487" t="s">
        <v>788</v>
      </c>
      <c r="H9" s="487" t="s">
        <v>155</v>
      </c>
      <c r="I9" s="487" t="s">
        <v>741</v>
      </c>
      <c r="K9" s="487" t="s">
        <v>786</v>
      </c>
      <c r="W9" s="487">
        <v>8</v>
      </c>
      <c r="X9" s="487">
        <f>X8*2</f>
        <v>64</v>
      </c>
      <c r="Y9" s="491">
        <f t="shared" si="4"/>
        <v>512</v>
      </c>
    </row>
    <row r="10" spans="2:25" x14ac:dyDescent="0.3">
      <c r="C10" s="487">
        <v>2023</v>
      </c>
      <c r="D10" s="491">
        <v>2000000000</v>
      </c>
      <c r="E10" s="499" t="s">
        <v>763</v>
      </c>
      <c r="F10" s="487" t="s">
        <v>791</v>
      </c>
      <c r="G10" s="487" t="s">
        <v>790</v>
      </c>
      <c r="H10" s="487" t="s">
        <v>155</v>
      </c>
      <c r="I10" s="487" t="s">
        <v>742</v>
      </c>
      <c r="J10" s="487">
        <f>C8</f>
        <v>2021</v>
      </c>
      <c r="K10" s="495">
        <f>K4*L10</f>
        <v>107374182.40000001</v>
      </c>
      <c r="L10" s="487">
        <v>10</v>
      </c>
      <c r="M10" s="487" t="s">
        <v>775</v>
      </c>
      <c r="N10" s="498">
        <v>0.15</v>
      </c>
      <c r="O10" s="491">
        <f>K10*N10</f>
        <v>16106127.359999999</v>
      </c>
      <c r="P10" s="487" t="s">
        <v>776</v>
      </c>
      <c r="Q10" s="498">
        <v>0.5</v>
      </c>
      <c r="R10" s="491">
        <f>K10*Q10</f>
        <v>53687091.200000003</v>
      </c>
      <c r="S10" s="487" t="s">
        <v>777</v>
      </c>
      <c r="T10" s="498">
        <v>0.35</v>
      </c>
      <c r="U10" s="491">
        <f>K10*T10</f>
        <v>37580963.839999996</v>
      </c>
      <c r="V10" s="498">
        <f>N10+Q10+T10</f>
        <v>1</v>
      </c>
      <c r="W10" s="487">
        <v>8</v>
      </c>
      <c r="X10" s="487">
        <f t="shared" ref="X10:X29" si="5">X9*2</f>
        <v>128</v>
      </c>
      <c r="Y10" s="491">
        <f t="shared" si="4"/>
        <v>1024</v>
      </c>
    </row>
    <row r="11" spans="2:25" x14ac:dyDescent="0.3">
      <c r="C11" s="487">
        <v>2024</v>
      </c>
      <c r="D11" s="491">
        <v>4000000000</v>
      </c>
      <c r="E11" s="499" t="s">
        <v>763</v>
      </c>
      <c r="F11" s="487" t="s">
        <v>791</v>
      </c>
      <c r="G11" s="487" t="s">
        <v>743</v>
      </c>
      <c r="J11" s="487">
        <f>C9</f>
        <v>2022</v>
      </c>
      <c r="K11" s="495">
        <f>K4*L11</f>
        <v>214748364.80000001</v>
      </c>
      <c r="L11" s="487">
        <v>20</v>
      </c>
      <c r="M11" s="487" t="s">
        <v>775</v>
      </c>
      <c r="N11" s="498">
        <v>0.15</v>
      </c>
      <c r="O11" s="491">
        <f>K11*N11</f>
        <v>32212254.719999999</v>
      </c>
      <c r="P11" s="487" t="s">
        <v>776</v>
      </c>
      <c r="Q11" s="498">
        <v>0.5</v>
      </c>
      <c r="R11" s="491">
        <f>K11*Q11</f>
        <v>107374182.40000001</v>
      </c>
      <c r="S11" s="487" t="s">
        <v>777</v>
      </c>
      <c r="T11" s="498">
        <v>0.35</v>
      </c>
      <c r="U11" s="491">
        <f>K11*T11</f>
        <v>75161927.679999992</v>
      </c>
      <c r="V11" s="498">
        <f>N11+Q11+T11</f>
        <v>1</v>
      </c>
      <c r="W11" s="487">
        <v>8</v>
      </c>
      <c r="X11" s="487">
        <f t="shared" si="5"/>
        <v>256</v>
      </c>
      <c r="Y11" s="491">
        <f t="shared" si="4"/>
        <v>2048</v>
      </c>
    </row>
    <row r="12" spans="2:25" x14ac:dyDescent="0.3">
      <c r="D12" s="491"/>
      <c r="F12" s="487" t="s">
        <v>750</v>
      </c>
      <c r="J12" s="487">
        <f>C10</f>
        <v>2023</v>
      </c>
      <c r="K12" s="495">
        <f>K4*L12</f>
        <v>322122547.19999999</v>
      </c>
      <c r="L12" s="487">
        <v>30</v>
      </c>
      <c r="M12" s="487" t="s">
        <v>775</v>
      </c>
      <c r="N12" s="498">
        <v>0.15</v>
      </c>
      <c r="O12" s="491">
        <f>K12*N12</f>
        <v>48318382.079999998</v>
      </c>
      <c r="P12" s="487" t="s">
        <v>776</v>
      </c>
      <c r="Q12" s="498">
        <v>0.5</v>
      </c>
      <c r="R12" s="491">
        <f>K12*Q12</f>
        <v>161061273.59999999</v>
      </c>
      <c r="S12" s="487" t="s">
        <v>777</v>
      </c>
      <c r="T12" s="498">
        <v>0.35</v>
      </c>
      <c r="U12" s="491">
        <f>K12*T12</f>
        <v>112742891.52</v>
      </c>
      <c r="V12" s="498">
        <f>N12+Q12+T12</f>
        <v>1</v>
      </c>
      <c r="W12" s="487">
        <v>8</v>
      </c>
      <c r="X12" s="487">
        <f t="shared" si="5"/>
        <v>512</v>
      </c>
      <c r="Y12" s="491">
        <f t="shared" si="4"/>
        <v>4096</v>
      </c>
    </row>
    <row r="13" spans="2:25" x14ac:dyDescent="0.3">
      <c r="C13" s="487">
        <v>2019</v>
      </c>
      <c r="D13" s="487" t="s">
        <v>792</v>
      </c>
      <c r="J13" s="487">
        <f>C11</f>
        <v>2024</v>
      </c>
      <c r="K13" s="495">
        <f>K4*L13</f>
        <v>429496729.60000002</v>
      </c>
      <c r="L13" s="487">
        <v>40</v>
      </c>
      <c r="M13" s="487" t="s">
        <v>775</v>
      </c>
      <c r="N13" s="498">
        <v>0.25</v>
      </c>
      <c r="O13" s="491">
        <f>K13*N13</f>
        <v>107374182.40000001</v>
      </c>
      <c r="P13" s="487" t="s">
        <v>776</v>
      </c>
      <c r="Q13" s="498">
        <v>0.35</v>
      </c>
      <c r="R13" s="491">
        <f>K13*Q13</f>
        <v>150323855.35999998</v>
      </c>
      <c r="S13" s="487" t="s">
        <v>777</v>
      </c>
      <c r="T13" s="498">
        <v>0.4</v>
      </c>
      <c r="U13" s="491">
        <f>K13*T13</f>
        <v>171798691.84000003</v>
      </c>
      <c r="V13" s="498">
        <f>N13+Q13+T13</f>
        <v>1</v>
      </c>
      <c r="W13" s="487">
        <v>8</v>
      </c>
      <c r="X13" s="487">
        <f t="shared" si="5"/>
        <v>1024</v>
      </c>
      <c r="Y13" s="491">
        <f t="shared" si="4"/>
        <v>8192</v>
      </c>
    </row>
    <row r="14" spans="2:25" x14ac:dyDescent="0.3">
      <c r="C14" s="487">
        <v>2020</v>
      </c>
      <c r="D14" s="487" t="s">
        <v>793</v>
      </c>
      <c r="K14" s="501" t="s">
        <v>780</v>
      </c>
      <c r="N14" s="498"/>
      <c r="O14" s="491"/>
      <c r="Q14" s="498"/>
      <c r="R14" s="491"/>
      <c r="T14" s="498"/>
      <c r="U14" s="491"/>
      <c r="V14" s="498"/>
      <c r="W14" s="487">
        <v>8</v>
      </c>
      <c r="X14" s="487">
        <f t="shared" si="5"/>
        <v>2048</v>
      </c>
      <c r="Y14" s="491">
        <f t="shared" si="4"/>
        <v>16384</v>
      </c>
    </row>
    <row r="15" spans="2:25" x14ac:dyDescent="0.3">
      <c r="C15" s="487">
        <v>2021</v>
      </c>
      <c r="D15" s="487" t="s">
        <v>799</v>
      </c>
      <c r="J15" s="487">
        <v>2025</v>
      </c>
      <c r="K15" s="495">
        <f>K4*L15</f>
        <v>343597383.68000001</v>
      </c>
      <c r="L15" s="487">
        <v>32</v>
      </c>
      <c r="M15" s="487" t="s">
        <v>775</v>
      </c>
      <c r="N15" s="498">
        <v>0.25</v>
      </c>
      <c r="O15" s="491">
        <f t="shared" ref="O15:O18" si="6">K15*N15</f>
        <v>85899345.920000002</v>
      </c>
      <c r="P15" s="487" t="s">
        <v>776</v>
      </c>
      <c r="Q15" s="498">
        <v>0.35</v>
      </c>
      <c r="R15" s="491">
        <f t="shared" ref="R15:R18" si="7">K15*Q15</f>
        <v>120259084.28799999</v>
      </c>
      <c r="S15" s="487" t="s">
        <v>777</v>
      </c>
      <c r="T15" s="498">
        <v>0.4</v>
      </c>
      <c r="U15" s="491">
        <f t="shared" ref="U15:U18" si="8">K15*T15</f>
        <v>137438953.472</v>
      </c>
      <c r="V15" s="498">
        <f t="shared" ref="V15:V18" si="9">N15+Q15+T15</f>
        <v>1</v>
      </c>
      <c r="W15" s="487">
        <v>8</v>
      </c>
      <c r="X15" s="487">
        <f t="shared" si="5"/>
        <v>4096</v>
      </c>
      <c r="Y15" s="491">
        <f t="shared" si="4"/>
        <v>32768</v>
      </c>
    </row>
    <row r="16" spans="2:25" x14ac:dyDescent="0.3">
      <c r="C16" s="487">
        <v>2022</v>
      </c>
      <c r="D16" s="487" t="s">
        <v>794</v>
      </c>
      <c r="J16" s="487">
        <f>J15+1</f>
        <v>2026</v>
      </c>
      <c r="K16" s="495">
        <f>K4*L16</f>
        <v>687194767.36000001</v>
      </c>
      <c r="L16" s="487">
        <v>64</v>
      </c>
      <c r="M16" s="487" t="s">
        <v>775</v>
      </c>
      <c r="N16" s="498">
        <v>0.25</v>
      </c>
      <c r="O16" s="491">
        <f t="shared" si="6"/>
        <v>171798691.84</v>
      </c>
      <c r="P16" s="487" t="s">
        <v>776</v>
      </c>
      <c r="Q16" s="498">
        <v>0.35</v>
      </c>
      <c r="R16" s="491">
        <f t="shared" si="7"/>
        <v>240518168.57599998</v>
      </c>
      <c r="S16" s="487" t="s">
        <v>777</v>
      </c>
      <c r="T16" s="498">
        <v>0.4</v>
      </c>
      <c r="U16" s="491">
        <f t="shared" si="8"/>
        <v>274877906.94400001</v>
      </c>
      <c r="V16" s="498">
        <f t="shared" si="9"/>
        <v>1</v>
      </c>
      <c r="W16" s="487">
        <v>8</v>
      </c>
      <c r="X16" s="487">
        <f t="shared" si="5"/>
        <v>8192</v>
      </c>
      <c r="Y16" s="491">
        <f t="shared" si="4"/>
        <v>65536</v>
      </c>
    </row>
    <row r="17" spans="1:25" x14ac:dyDescent="0.3">
      <c r="C17" s="487">
        <v>2022</v>
      </c>
      <c r="D17" s="487" t="s">
        <v>800</v>
      </c>
      <c r="J17" s="487">
        <f t="shared" ref="J17:J20" si="10">J16+1</f>
        <v>2027</v>
      </c>
      <c r="K17" s="495">
        <f>K4*L17</f>
        <v>1374389534.72</v>
      </c>
      <c r="L17" s="487">
        <v>128</v>
      </c>
      <c r="M17" s="487" t="s">
        <v>775</v>
      </c>
      <c r="N17" s="498">
        <v>0.25</v>
      </c>
      <c r="O17" s="491">
        <f t="shared" si="6"/>
        <v>343597383.68000001</v>
      </c>
      <c r="P17" s="487" t="s">
        <v>776</v>
      </c>
      <c r="Q17" s="498">
        <v>0.35</v>
      </c>
      <c r="R17" s="491">
        <f t="shared" si="7"/>
        <v>481036337.15199995</v>
      </c>
      <c r="S17" s="487" t="s">
        <v>777</v>
      </c>
      <c r="T17" s="498">
        <v>0.4</v>
      </c>
      <c r="U17" s="491">
        <f t="shared" si="8"/>
        <v>549755813.88800001</v>
      </c>
      <c r="V17" s="498">
        <f t="shared" si="9"/>
        <v>1</v>
      </c>
      <c r="W17" s="487">
        <v>8</v>
      </c>
      <c r="X17" s="487">
        <f t="shared" si="5"/>
        <v>16384</v>
      </c>
      <c r="Y17" s="491">
        <f t="shared" si="4"/>
        <v>131072</v>
      </c>
    </row>
    <row r="18" spans="1:25" x14ac:dyDescent="0.3">
      <c r="C18" s="487">
        <v>2023</v>
      </c>
      <c r="D18" s="487" t="s">
        <v>795</v>
      </c>
      <c r="J18" s="487">
        <f t="shared" si="10"/>
        <v>2028</v>
      </c>
      <c r="K18" s="495"/>
      <c r="M18" s="487" t="s">
        <v>775</v>
      </c>
      <c r="N18" s="498">
        <v>0</v>
      </c>
      <c r="O18" s="491">
        <f t="shared" si="6"/>
        <v>0</v>
      </c>
      <c r="P18" s="487" t="s">
        <v>776</v>
      </c>
      <c r="Q18" s="498">
        <v>0</v>
      </c>
      <c r="R18" s="491">
        <f t="shared" si="7"/>
        <v>0</v>
      </c>
      <c r="S18" s="487" t="s">
        <v>777</v>
      </c>
      <c r="T18" s="498">
        <v>0</v>
      </c>
      <c r="U18" s="491">
        <f t="shared" si="8"/>
        <v>0</v>
      </c>
      <c r="V18" s="498">
        <f t="shared" si="9"/>
        <v>0</v>
      </c>
      <c r="W18" s="487">
        <v>8</v>
      </c>
      <c r="X18" s="487">
        <f t="shared" si="5"/>
        <v>32768</v>
      </c>
      <c r="Y18" s="491">
        <f t="shared" si="4"/>
        <v>262144</v>
      </c>
    </row>
    <row r="19" spans="1:25" x14ac:dyDescent="0.3">
      <c r="C19" s="487">
        <v>2023</v>
      </c>
      <c r="D19" s="487" t="s">
        <v>796</v>
      </c>
      <c r="J19" s="487">
        <f t="shared" si="10"/>
        <v>2029</v>
      </c>
      <c r="K19" s="495"/>
      <c r="W19" s="487">
        <v>8</v>
      </c>
      <c r="X19" s="487">
        <f t="shared" si="5"/>
        <v>65536</v>
      </c>
      <c r="Y19" s="491">
        <f t="shared" si="4"/>
        <v>524288</v>
      </c>
    </row>
    <row r="20" spans="1:25" x14ac:dyDescent="0.3">
      <c r="C20" s="487">
        <v>2024</v>
      </c>
      <c r="D20" s="487" t="s">
        <v>783</v>
      </c>
      <c r="J20" s="487">
        <f t="shared" si="10"/>
        <v>2030</v>
      </c>
      <c r="K20" s="495"/>
      <c r="W20" s="487">
        <v>8</v>
      </c>
      <c r="X20" s="487">
        <f t="shared" si="5"/>
        <v>131072</v>
      </c>
      <c r="Y20" s="491">
        <f t="shared" si="4"/>
        <v>1048576</v>
      </c>
    </row>
    <row r="21" spans="1:25" x14ac:dyDescent="0.3">
      <c r="C21" s="487">
        <v>2024</v>
      </c>
      <c r="D21" s="487" t="s">
        <v>797</v>
      </c>
      <c r="K21" s="495"/>
      <c r="W21" s="487">
        <v>8</v>
      </c>
      <c r="X21" s="487">
        <f t="shared" si="5"/>
        <v>262144</v>
      </c>
      <c r="Y21" s="491">
        <f t="shared" si="4"/>
        <v>2097152</v>
      </c>
    </row>
    <row r="22" spans="1:25" x14ac:dyDescent="0.3">
      <c r="A22" s="487" t="s">
        <v>740</v>
      </c>
      <c r="C22" s="487">
        <v>2024</v>
      </c>
      <c r="D22" s="502">
        <v>2000000000</v>
      </c>
      <c r="E22" s="502">
        <v>1000000000</v>
      </c>
      <c r="F22" s="487" t="s">
        <v>751</v>
      </c>
      <c r="K22" s="495"/>
      <c r="W22" s="487">
        <v>8</v>
      </c>
      <c r="X22" s="487">
        <f t="shared" si="5"/>
        <v>524288</v>
      </c>
      <c r="Y22" s="491">
        <f t="shared" si="4"/>
        <v>4194304</v>
      </c>
    </row>
    <row r="23" spans="1:25" x14ac:dyDescent="0.3">
      <c r="A23" s="487" t="s">
        <v>740</v>
      </c>
      <c r="C23" s="487">
        <v>2025</v>
      </c>
      <c r="D23" s="503"/>
      <c r="E23" s="504">
        <v>1000000000</v>
      </c>
      <c r="K23" s="495"/>
      <c r="W23" s="487">
        <v>8</v>
      </c>
      <c r="X23" s="487">
        <f t="shared" si="5"/>
        <v>1048576</v>
      </c>
      <c r="Y23" s="491">
        <f t="shared" si="4"/>
        <v>8388608</v>
      </c>
    </row>
    <row r="24" spans="1:25" x14ac:dyDescent="0.3">
      <c r="A24" s="487" t="s">
        <v>740</v>
      </c>
      <c r="C24" s="487">
        <v>2025</v>
      </c>
      <c r="D24" s="504">
        <v>3000000000</v>
      </c>
      <c r="E24" s="504">
        <v>1500000000</v>
      </c>
      <c r="F24" s="487" t="s">
        <v>752</v>
      </c>
      <c r="K24" s="495">
        <f>SUM(K6:K23)</f>
        <v>3548716728.3199997</v>
      </c>
      <c r="W24" s="487">
        <v>8</v>
      </c>
      <c r="X24" s="487">
        <f t="shared" si="5"/>
        <v>2097152</v>
      </c>
      <c r="Y24" s="491">
        <f t="shared" si="4"/>
        <v>16777216</v>
      </c>
    </row>
    <row r="25" spans="1:25" x14ac:dyDescent="0.3">
      <c r="A25" s="487" t="s">
        <v>740</v>
      </c>
      <c r="C25" s="487">
        <v>2026</v>
      </c>
      <c r="D25" s="505"/>
      <c r="E25" s="506">
        <v>1500000000</v>
      </c>
      <c r="F25" s="487" t="s">
        <v>752</v>
      </c>
      <c r="K25" s="495"/>
      <c r="W25" s="487">
        <v>8</v>
      </c>
      <c r="X25" s="487">
        <f t="shared" si="5"/>
        <v>4194304</v>
      </c>
      <c r="Y25" s="491">
        <f t="shared" si="4"/>
        <v>33554432</v>
      </c>
    </row>
    <row r="26" spans="1:25" x14ac:dyDescent="0.3">
      <c r="A26" s="487" t="s">
        <v>740</v>
      </c>
      <c r="C26" s="487">
        <v>2026</v>
      </c>
      <c r="D26" s="507">
        <v>4000000000</v>
      </c>
      <c r="E26" s="506">
        <v>2000000000</v>
      </c>
      <c r="F26" s="487" t="s">
        <v>754</v>
      </c>
      <c r="K26" s="495">
        <f>'POP Dimensions'!N17</f>
        <v>5497558138.8800001</v>
      </c>
      <c r="W26" s="487">
        <v>8</v>
      </c>
      <c r="X26" s="487">
        <f t="shared" si="5"/>
        <v>8388608</v>
      </c>
      <c r="Y26" s="491">
        <f t="shared" si="4"/>
        <v>67108864</v>
      </c>
    </row>
    <row r="27" spans="1:25" x14ac:dyDescent="0.3">
      <c r="A27" s="487" t="s">
        <v>740</v>
      </c>
      <c r="C27" s="487">
        <v>2027</v>
      </c>
      <c r="D27" s="508"/>
      <c r="E27" s="509">
        <v>2000000000</v>
      </c>
      <c r="F27" s="487" t="s">
        <v>754</v>
      </c>
      <c r="K27" s="487" t="s">
        <v>781</v>
      </c>
      <c r="L27" s="487" t="s">
        <v>782</v>
      </c>
      <c r="W27" s="487">
        <v>8</v>
      </c>
      <c r="X27" s="487">
        <f t="shared" si="5"/>
        <v>16777216</v>
      </c>
      <c r="Y27" s="491">
        <f t="shared" si="4"/>
        <v>134217728</v>
      </c>
    </row>
    <row r="28" spans="1:25" x14ac:dyDescent="0.3">
      <c r="A28" s="487" t="s">
        <v>740</v>
      </c>
      <c r="C28" s="487">
        <v>2027</v>
      </c>
      <c r="D28" s="509">
        <v>8000000000</v>
      </c>
      <c r="E28" s="509">
        <v>4000000000</v>
      </c>
      <c r="F28" s="487" t="s">
        <v>753</v>
      </c>
      <c r="W28" s="487">
        <v>8</v>
      </c>
      <c r="X28" s="487">
        <f t="shared" si="5"/>
        <v>33554432</v>
      </c>
      <c r="Y28" s="491">
        <f t="shared" si="4"/>
        <v>268435456</v>
      </c>
    </row>
    <row r="29" spans="1:25" x14ac:dyDescent="0.3">
      <c r="E29" s="491">
        <v>4000000000</v>
      </c>
      <c r="W29" s="487">
        <v>8</v>
      </c>
      <c r="X29" s="487">
        <f t="shared" si="5"/>
        <v>67108864</v>
      </c>
      <c r="Y29" s="491">
        <f t="shared" si="4"/>
        <v>536870912</v>
      </c>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416E8-F035-4CA6-A3B4-E3122BED7DE3}">
  <dimension ref="B2:AV35"/>
  <sheetViews>
    <sheetView workbookViewId="0">
      <selection activeCell="AV5" sqref="AV5:AV21"/>
    </sheetView>
  </sheetViews>
  <sheetFormatPr defaultColWidth="8.88671875" defaultRowHeight="15.6" x14ac:dyDescent="0.3"/>
  <cols>
    <col min="1" max="3" width="8.88671875" style="1"/>
    <col min="4" max="4" width="4.33203125" style="1" bestFit="1" customWidth="1"/>
    <col min="5" max="16384" width="8.88671875" style="1"/>
  </cols>
  <sheetData>
    <row r="2" spans="2:48" x14ac:dyDescent="0.3">
      <c r="B2" s="1" t="s">
        <v>245</v>
      </c>
      <c r="F2" s="1" t="s">
        <v>258</v>
      </c>
    </row>
    <row r="4" spans="2:48" x14ac:dyDescent="0.3">
      <c r="B4" s="1" t="s">
        <v>253</v>
      </c>
    </row>
    <row r="5" spans="2:48" x14ac:dyDescent="0.3">
      <c r="B5" s="1" t="s">
        <v>242</v>
      </c>
      <c r="C5" s="1">
        <v>4</v>
      </c>
      <c r="E5" s="1" t="s">
        <v>259</v>
      </c>
      <c r="AV5" s="1" t="s">
        <v>36</v>
      </c>
    </row>
    <row r="6" spans="2:48" x14ac:dyDescent="0.3">
      <c r="AV6" s="1" t="s">
        <v>37</v>
      </c>
    </row>
    <row r="7" spans="2:48" x14ac:dyDescent="0.3">
      <c r="B7" s="1" t="s">
        <v>246</v>
      </c>
      <c r="AV7" s="1" t="s">
        <v>38</v>
      </c>
    </row>
    <row r="8" spans="2:48" x14ac:dyDescent="0.3">
      <c r="B8" s="109">
        <v>1</v>
      </c>
      <c r="C8" s="111">
        <v>8.2400000000000001E-2</v>
      </c>
      <c r="AV8" s="1" t="s">
        <v>39</v>
      </c>
    </row>
    <row r="9" spans="2:48" x14ac:dyDescent="0.3">
      <c r="B9" s="109">
        <v>2</v>
      </c>
      <c r="C9" s="30">
        <v>2.8000000000000001E-2</v>
      </c>
      <c r="D9" s="1" t="s">
        <v>205</v>
      </c>
      <c r="E9" s="85">
        <v>8.9999999999999993E-3</v>
      </c>
      <c r="F9" s="112">
        <f>C9+E9</f>
        <v>3.6999999999999998E-2</v>
      </c>
      <c r="AV9" s="1" t="s">
        <v>40</v>
      </c>
    </row>
    <row r="10" spans="2:48" x14ac:dyDescent="0.3">
      <c r="B10" s="109"/>
      <c r="F10" s="34"/>
      <c r="AV10" s="1" t="s">
        <v>41</v>
      </c>
    </row>
    <row r="11" spans="2:48" x14ac:dyDescent="0.3">
      <c r="B11" s="109"/>
      <c r="C11" s="111">
        <f>C8*50%</f>
        <v>4.1200000000000001E-2</v>
      </c>
      <c r="D11" s="1" t="s">
        <v>205</v>
      </c>
      <c r="E11" s="113">
        <f>F9*50%</f>
        <v>1.8499999999999999E-2</v>
      </c>
      <c r="F11" s="34" t="s">
        <v>247</v>
      </c>
      <c r="G11" s="114">
        <f>C11+E11</f>
        <v>5.9700000000000003E-2</v>
      </c>
      <c r="H11" s="1" t="s">
        <v>113</v>
      </c>
      <c r="AV11" s="1" t="s">
        <v>42</v>
      </c>
    </row>
    <row r="12" spans="2:48" x14ac:dyDescent="0.3">
      <c r="AV12" s="1" t="s">
        <v>43</v>
      </c>
    </row>
    <row r="13" spans="2:48" x14ac:dyDescent="0.3">
      <c r="B13" s="1" t="s">
        <v>248</v>
      </c>
      <c r="E13" s="30">
        <f>G11</f>
        <v>5.9700000000000003E-2</v>
      </c>
      <c r="F13" s="1" t="s">
        <v>249</v>
      </c>
      <c r="AV13" s="1" t="s">
        <v>44</v>
      </c>
    </row>
    <row r="14" spans="2:48" x14ac:dyDescent="0.3">
      <c r="E14" s="1">
        <v>17</v>
      </c>
      <c r="F14" s="1" t="s">
        <v>250</v>
      </c>
      <c r="AV14" s="1" t="s">
        <v>45</v>
      </c>
    </row>
    <row r="15" spans="2:48" x14ac:dyDescent="0.3">
      <c r="E15" s="32">
        <f>E13*E14</f>
        <v>1.0149000000000001</v>
      </c>
      <c r="AV15" s="1" t="s">
        <v>46</v>
      </c>
    </row>
    <row r="16" spans="2:48" ht="16.2" thickBot="1" x14ac:dyDescent="0.35">
      <c r="B16" s="1" t="s">
        <v>242</v>
      </c>
      <c r="C16" s="1">
        <v>4</v>
      </c>
      <c r="E16" s="1">
        <v>17</v>
      </c>
      <c r="F16" s="115">
        <f>C16*E16</f>
        <v>68</v>
      </c>
      <c r="G16" s="1" t="s">
        <v>251</v>
      </c>
      <c r="AV16" s="1" t="s">
        <v>47</v>
      </c>
    </row>
    <row r="17" spans="2:48" x14ac:dyDescent="0.3">
      <c r="B17" s="1" t="s">
        <v>257</v>
      </c>
      <c r="F17" s="1">
        <f>F16/2</f>
        <v>34</v>
      </c>
      <c r="G17" s="1" t="s">
        <v>265</v>
      </c>
      <c r="AV17" s="1" t="s">
        <v>48</v>
      </c>
    </row>
    <row r="18" spans="2:48" x14ac:dyDescent="0.3">
      <c r="B18" s="1" t="s">
        <v>274</v>
      </c>
      <c r="F18" s="1">
        <f>F17</f>
        <v>34</v>
      </c>
      <c r="AV18" s="1" t="s">
        <v>49</v>
      </c>
    </row>
    <row r="19" spans="2:48" x14ac:dyDescent="0.3">
      <c r="B19" s="1" t="s">
        <v>268</v>
      </c>
      <c r="F19" s="1">
        <v>16</v>
      </c>
      <c r="AV19" s="1" t="s">
        <v>50</v>
      </c>
    </row>
    <row r="20" spans="2:48" x14ac:dyDescent="0.3">
      <c r="B20" s="1" t="s">
        <v>252</v>
      </c>
      <c r="F20" s="1">
        <v>8</v>
      </c>
      <c r="AV20" s="1" t="s">
        <v>51</v>
      </c>
    </row>
    <row r="21" spans="2:48" x14ac:dyDescent="0.3">
      <c r="B21" s="1" t="s">
        <v>254</v>
      </c>
      <c r="F21" s="1">
        <v>16</v>
      </c>
      <c r="AV21" s="1" t="s">
        <v>52</v>
      </c>
    </row>
    <row r="22" spans="2:48" x14ac:dyDescent="0.3">
      <c r="B22" s="1" t="s">
        <v>255</v>
      </c>
      <c r="F22" s="1">
        <f>F21/2</f>
        <v>8</v>
      </c>
      <c r="G22" s="1" t="s">
        <v>265</v>
      </c>
    </row>
    <row r="23" spans="2:48" x14ac:dyDescent="0.3">
      <c r="B23" s="1" t="s">
        <v>260</v>
      </c>
      <c r="F23" s="1">
        <v>32</v>
      </c>
    </row>
    <row r="24" spans="2:48" x14ac:dyDescent="0.3">
      <c r="B24" s="1" t="s">
        <v>261</v>
      </c>
      <c r="F24" s="1">
        <f>F23/2</f>
        <v>16</v>
      </c>
      <c r="G24" s="1" t="s">
        <v>265</v>
      </c>
    </row>
    <row r="25" spans="2:48" x14ac:dyDescent="0.3">
      <c r="B25" s="1" t="s">
        <v>256</v>
      </c>
      <c r="F25" s="1">
        <v>32</v>
      </c>
    </row>
    <row r="26" spans="2:48" x14ac:dyDescent="0.3">
      <c r="B26" s="1" t="s">
        <v>262</v>
      </c>
      <c r="F26" s="1">
        <v>32</v>
      </c>
      <c r="G26" s="1" t="s">
        <v>266</v>
      </c>
    </row>
    <row r="27" spans="2:48" x14ac:dyDescent="0.3">
      <c r="B27" s="1" t="s">
        <v>263</v>
      </c>
      <c r="F27" s="1">
        <v>8</v>
      </c>
    </row>
    <row r="28" spans="2:48" x14ac:dyDescent="0.3">
      <c r="B28" s="1" t="s">
        <v>264</v>
      </c>
      <c r="F28" s="1">
        <v>16</v>
      </c>
      <c r="G28" s="1" t="s">
        <v>267</v>
      </c>
    </row>
    <row r="29" spans="2:48" x14ac:dyDescent="0.3">
      <c r="B29" s="1" t="s">
        <v>269</v>
      </c>
      <c r="F29" s="1">
        <v>8</v>
      </c>
    </row>
    <row r="30" spans="2:48" x14ac:dyDescent="0.3">
      <c r="B30" s="1" t="s">
        <v>270</v>
      </c>
      <c r="F30" s="1">
        <v>8</v>
      </c>
    </row>
    <row r="31" spans="2:48" x14ac:dyDescent="0.3">
      <c r="B31" s="1" t="s">
        <v>271</v>
      </c>
      <c r="F31" s="1">
        <v>16</v>
      </c>
    </row>
    <row r="32" spans="2:48" x14ac:dyDescent="0.3">
      <c r="B32" s="1" t="s">
        <v>272</v>
      </c>
      <c r="F32" s="1">
        <v>16</v>
      </c>
    </row>
    <row r="35" spans="6:6" x14ac:dyDescent="0.3">
      <c r="F35" s="1">
        <f>SUM(F16:F34)</f>
        <v>368</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8180E-7482-4285-A48C-E03B9DDF9BD8}">
  <dimension ref="B2:F14"/>
  <sheetViews>
    <sheetView workbookViewId="0">
      <selection activeCell="E16" sqref="E16"/>
    </sheetView>
  </sheetViews>
  <sheetFormatPr defaultColWidth="8.88671875" defaultRowHeight="15.6" x14ac:dyDescent="0.3"/>
  <cols>
    <col min="1" max="2" width="8.88671875" style="1"/>
    <col min="3" max="3" width="20.33203125" style="1" bestFit="1" customWidth="1"/>
    <col min="4" max="4" width="9" style="1" bestFit="1" customWidth="1"/>
    <col min="5" max="5" width="20.88671875" style="1" bestFit="1" customWidth="1"/>
    <col min="6" max="6" width="12.44140625" style="1" bestFit="1" customWidth="1"/>
    <col min="7" max="16384" width="8.88671875" style="1"/>
  </cols>
  <sheetData>
    <row r="2" spans="2:6" x14ac:dyDescent="0.3">
      <c r="B2" s="1" t="s">
        <v>577</v>
      </c>
    </row>
    <row r="5" spans="2:6" x14ac:dyDescent="0.3">
      <c r="C5" s="1" t="s">
        <v>578</v>
      </c>
    </row>
    <row r="6" spans="2:6" x14ac:dyDescent="0.3">
      <c r="C6" s="1" t="s">
        <v>579</v>
      </c>
      <c r="E6" s="1" t="s">
        <v>580</v>
      </c>
    </row>
    <row r="7" spans="2:6" x14ac:dyDescent="0.3">
      <c r="C7" s="2">
        <v>90600000000</v>
      </c>
      <c r="D7" s="18">
        <v>0.15</v>
      </c>
      <c r="E7" s="2">
        <f>C7*D7</f>
        <v>13590000000</v>
      </c>
    </row>
    <row r="8" spans="2:6" x14ac:dyDescent="0.3">
      <c r="E8" s="1">
        <v>365</v>
      </c>
    </row>
    <row r="9" spans="2:6" x14ac:dyDescent="0.3">
      <c r="E9" s="2">
        <f>E7/E8</f>
        <v>37232876.712328769</v>
      </c>
      <c r="F9" s="1" t="s">
        <v>581</v>
      </c>
    </row>
    <row r="10" spans="2:6" x14ac:dyDescent="0.3">
      <c r="E10" s="1">
        <v>6</v>
      </c>
    </row>
    <row r="11" spans="2:6" x14ac:dyDescent="0.3">
      <c r="E11" s="2">
        <f>E9/E10</f>
        <v>6205479.4520547949</v>
      </c>
      <c r="F11" s="1" t="s">
        <v>582</v>
      </c>
    </row>
    <row r="12" spans="2:6" x14ac:dyDescent="0.3">
      <c r="E12" s="1">
        <v>4</v>
      </c>
    </row>
    <row r="13" spans="2:6" ht="21" x14ac:dyDescent="0.4">
      <c r="E13" s="220">
        <f>E11/E12</f>
        <v>1551369.8630136987</v>
      </c>
      <c r="F13" s="31" t="s">
        <v>583</v>
      </c>
    </row>
    <row r="14" spans="2:6" x14ac:dyDescent="0.3">
      <c r="E14" s="1" t="s">
        <v>584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B806-44B8-484B-A50C-CD7BFA31AAF1}">
  <dimension ref="B2:L80"/>
  <sheetViews>
    <sheetView workbookViewId="0">
      <selection activeCell="E34" sqref="E34"/>
    </sheetView>
  </sheetViews>
  <sheetFormatPr defaultColWidth="8.88671875" defaultRowHeight="15.6" x14ac:dyDescent="0.3"/>
  <cols>
    <col min="1" max="1" width="4.44140625" style="1" customWidth="1"/>
    <col min="2" max="3" width="18.109375" style="1" customWidth="1"/>
    <col min="4" max="4" width="21.44140625" style="1" bestFit="1" customWidth="1"/>
    <col min="5" max="5" width="39.33203125" style="1" bestFit="1" customWidth="1"/>
    <col min="6" max="6" width="4.88671875" style="1" customWidth="1"/>
    <col min="7" max="7" width="24" style="1" bestFit="1" customWidth="1"/>
    <col min="8" max="8" width="7.33203125" style="32" bestFit="1" customWidth="1"/>
    <col min="9" max="9" width="21.6640625" style="1" customWidth="1"/>
    <col min="10" max="10" width="8.88671875" style="1"/>
    <col min="11" max="11" width="20.33203125" style="1" bestFit="1" customWidth="1"/>
    <col min="12" max="16384" width="8.88671875" style="1"/>
  </cols>
  <sheetData>
    <row r="2" spans="2:6" x14ac:dyDescent="0.3">
      <c r="B2" s="1" t="s">
        <v>140</v>
      </c>
      <c r="D2" s="1" t="s">
        <v>170</v>
      </c>
    </row>
    <row r="4" spans="2:6" ht="16.2" thickBot="1" x14ac:dyDescent="0.35">
      <c r="B4" s="55">
        <v>2018</v>
      </c>
      <c r="C4" s="55" t="s">
        <v>141</v>
      </c>
      <c r="D4" s="55" t="s">
        <v>172</v>
      </c>
      <c r="E4" s="55"/>
    </row>
    <row r="6" spans="2:6" ht="16.2" thickBot="1" x14ac:dyDescent="0.35">
      <c r="B6" s="55" t="s">
        <v>144</v>
      </c>
      <c r="C6" s="55" t="s">
        <v>237</v>
      </c>
      <c r="D6" s="56">
        <f>D9</f>
        <v>160000000</v>
      </c>
      <c r="E6" s="55" t="s">
        <v>173</v>
      </c>
      <c r="F6" s="7"/>
    </row>
    <row r="7" spans="2:6" x14ac:dyDescent="0.3">
      <c r="B7" s="7"/>
      <c r="C7" s="7"/>
      <c r="D7" s="59">
        <v>10000000</v>
      </c>
      <c r="E7" s="7" t="s">
        <v>174</v>
      </c>
      <c r="F7" s="7"/>
    </row>
    <row r="8" spans="2:6" x14ac:dyDescent="0.3">
      <c r="B8" s="7"/>
      <c r="C8" s="7"/>
      <c r="D8" s="61">
        <v>16</v>
      </c>
      <c r="E8" s="7" t="s">
        <v>180</v>
      </c>
      <c r="F8" s="7"/>
    </row>
    <row r="9" spans="2:6" x14ac:dyDescent="0.3">
      <c r="B9" s="7"/>
      <c r="C9" s="7"/>
      <c r="D9" s="60">
        <f>D7*D8</f>
        <v>160000000</v>
      </c>
      <c r="E9" s="7"/>
      <c r="F9" s="7"/>
    </row>
    <row r="10" spans="2:6" x14ac:dyDescent="0.3">
      <c r="D10" s="2">
        <v>6900</v>
      </c>
      <c r="E10" s="1" t="s">
        <v>142</v>
      </c>
    </row>
    <row r="11" spans="2:6" x14ac:dyDescent="0.3">
      <c r="D11" s="1">
        <v>100</v>
      </c>
    </row>
    <row r="12" spans="2:6" x14ac:dyDescent="0.3">
      <c r="D12" s="2">
        <f>D10*D11</f>
        <v>690000</v>
      </c>
      <c r="E12" s="1" t="s">
        <v>143</v>
      </c>
    </row>
    <row r="13" spans="2:6" x14ac:dyDescent="0.3">
      <c r="D13" s="1">
        <v>230</v>
      </c>
    </row>
    <row r="14" spans="2:6" x14ac:dyDescent="0.3">
      <c r="D14" s="2">
        <f>D12*D13</f>
        <v>158700000</v>
      </c>
      <c r="E14" s="1" t="s">
        <v>175</v>
      </c>
    </row>
    <row r="15" spans="2:6" x14ac:dyDescent="0.3">
      <c r="D15" s="2"/>
    </row>
    <row r="16" spans="2:6" x14ac:dyDescent="0.3">
      <c r="D16" s="1" t="s">
        <v>176</v>
      </c>
    </row>
    <row r="18" spans="2:11" ht="16.2" thickBot="1" x14ac:dyDescent="0.35">
      <c r="B18" s="55" t="s">
        <v>186</v>
      </c>
      <c r="C18" s="55" t="s">
        <v>160</v>
      </c>
      <c r="D18" s="56">
        <v>16000000000</v>
      </c>
      <c r="E18" s="55" t="s">
        <v>152</v>
      </c>
      <c r="F18" s="7"/>
      <c r="I18" s="1" t="s">
        <v>153</v>
      </c>
    </row>
    <row r="20" spans="2:11" ht="16.2" thickBot="1" x14ac:dyDescent="0.35">
      <c r="D20" s="57">
        <v>8000000000</v>
      </c>
      <c r="E20" s="55" t="s">
        <v>154</v>
      </c>
      <c r="F20" s="7"/>
      <c r="H20" s="65"/>
      <c r="I20" s="4"/>
      <c r="J20" s="4"/>
      <c r="K20" s="5"/>
    </row>
    <row r="21" spans="2:11" x14ac:dyDescent="0.3">
      <c r="D21" s="2">
        <v>3500000000</v>
      </c>
      <c r="E21" s="1" t="s">
        <v>181</v>
      </c>
      <c r="H21" s="66"/>
      <c r="I21" s="7" t="s">
        <v>187</v>
      </c>
      <c r="J21" s="7"/>
      <c r="K21" s="8"/>
    </row>
    <row r="22" spans="2:11" x14ac:dyDescent="0.3">
      <c r="D22" s="2">
        <v>1750000000</v>
      </c>
      <c r="E22" s="1" t="s">
        <v>155</v>
      </c>
      <c r="H22" s="66"/>
      <c r="I22" s="67">
        <v>118484</v>
      </c>
      <c r="J22" s="7"/>
      <c r="K22" s="8"/>
    </row>
    <row r="23" spans="2:11" x14ac:dyDescent="0.3">
      <c r="D23" s="2">
        <v>1250000000</v>
      </c>
      <c r="E23" s="1" t="s">
        <v>146</v>
      </c>
      <c r="H23" s="66"/>
      <c r="I23" s="7">
        <v>1600</v>
      </c>
      <c r="J23" s="7"/>
      <c r="K23" s="8"/>
    </row>
    <row r="24" spans="2:11" ht="16.2" thickBot="1" x14ac:dyDescent="0.35">
      <c r="D24" s="2">
        <v>750000000</v>
      </c>
      <c r="E24" s="1" t="s">
        <v>178</v>
      </c>
      <c r="H24" s="66"/>
      <c r="I24" s="58">
        <f>I23/I22</f>
        <v>1.3503933020492218E-2</v>
      </c>
      <c r="J24" s="7" t="s">
        <v>171</v>
      </c>
      <c r="K24" s="8"/>
    </row>
    <row r="25" spans="2:11" x14ac:dyDescent="0.3">
      <c r="D25" s="2">
        <f>5000000*50</f>
        <v>250000000</v>
      </c>
      <c r="E25" s="1" t="s">
        <v>177</v>
      </c>
      <c r="H25" s="68"/>
      <c r="I25" s="10"/>
      <c r="J25" s="10"/>
      <c r="K25" s="11"/>
    </row>
    <row r="26" spans="2:11" x14ac:dyDescent="0.3">
      <c r="D26" s="2">
        <v>250000000</v>
      </c>
      <c r="E26" s="1" t="s">
        <v>179</v>
      </c>
      <c r="I26" s="62"/>
    </row>
    <row r="27" spans="2:11" x14ac:dyDescent="0.3">
      <c r="D27" s="2">
        <v>250000000</v>
      </c>
      <c r="E27" s="1" t="s">
        <v>148</v>
      </c>
    </row>
    <row r="28" spans="2:11" x14ac:dyDescent="0.3">
      <c r="D28" s="2"/>
    </row>
    <row r="30" spans="2:11" ht="16.2" thickBot="1" x14ac:dyDescent="0.35">
      <c r="D30" s="57">
        <v>8000000000</v>
      </c>
      <c r="E30" s="55" t="s">
        <v>145</v>
      </c>
      <c r="F30" s="7"/>
      <c r="G30" s="1" t="s">
        <v>188</v>
      </c>
      <c r="I30" s="1" t="s">
        <v>151</v>
      </c>
    </row>
    <row r="31" spans="2:11" x14ac:dyDescent="0.3">
      <c r="D31" s="2">
        <v>3000000000</v>
      </c>
      <c r="E31" s="1" t="s">
        <v>147</v>
      </c>
      <c r="F31" s="1">
        <v>3</v>
      </c>
      <c r="G31" s="2">
        <f>D31*F31</f>
        <v>9000000000</v>
      </c>
      <c r="K31" s="2">
        <f>G31</f>
        <v>9000000000</v>
      </c>
    </row>
    <row r="32" spans="2:11" x14ac:dyDescent="0.3">
      <c r="D32" s="2">
        <v>2500000000</v>
      </c>
      <c r="E32" s="1" t="s">
        <v>35</v>
      </c>
      <c r="F32" s="1">
        <v>3</v>
      </c>
      <c r="G32" s="2">
        <f>D32*F32</f>
        <v>7500000000</v>
      </c>
      <c r="H32" s="32">
        <v>1</v>
      </c>
      <c r="I32" s="2">
        <f>G32*H32</f>
        <v>7500000000</v>
      </c>
      <c r="J32" s="1" t="s">
        <v>59</v>
      </c>
      <c r="K32" s="2">
        <f>G32+I32</f>
        <v>15000000000</v>
      </c>
    </row>
    <row r="33" spans="2:12" x14ac:dyDescent="0.3">
      <c r="D33" s="2">
        <v>1500000000</v>
      </c>
      <c r="E33" s="1" t="s">
        <v>178</v>
      </c>
      <c r="F33" s="1">
        <v>3</v>
      </c>
      <c r="G33" s="2">
        <f>D33*F33</f>
        <v>4500000000</v>
      </c>
      <c r="K33" s="2">
        <f t="shared" ref="K33:K34" si="0">G33</f>
        <v>4500000000</v>
      </c>
    </row>
    <row r="34" spans="2:12" x14ac:dyDescent="0.3">
      <c r="D34" s="2">
        <v>1000000000</v>
      </c>
      <c r="E34" s="1" t="s">
        <v>101</v>
      </c>
      <c r="F34" s="1">
        <v>2</v>
      </c>
      <c r="G34" s="2">
        <f>D34*F34</f>
        <v>2000000000</v>
      </c>
      <c r="K34" s="2">
        <f t="shared" si="0"/>
        <v>2000000000</v>
      </c>
    </row>
    <row r="35" spans="2:12" ht="16.2" thickBot="1" x14ac:dyDescent="0.35">
      <c r="I35" s="34"/>
      <c r="J35" s="34"/>
      <c r="K35" s="63">
        <f>SUM(K31:K34)</f>
        <v>30500000000</v>
      </c>
      <c r="L35" s="1" t="s">
        <v>157</v>
      </c>
    </row>
    <row r="36" spans="2:12" ht="16.2" thickBot="1" x14ac:dyDescent="0.35">
      <c r="B36" s="1" t="s">
        <v>149</v>
      </c>
      <c r="D36" s="57">
        <v>20000000</v>
      </c>
      <c r="I36" s="34"/>
      <c r="K36" s="1">
        <v>800</v>
      </c>
    </row>
    <row r="37" spans="2:12" x14ac:dyDescent="0.3">
      <c r="D37" s="1">
        <v>800</v>
      </c>
      <c r="E37" s="1" t="s">
        <v>150</v>
      </c>
      <c r="I37" s="34"/>
      <c r="K37" s="2">
        <f>K35/K36</f>
        <v>38125000</v>
      </c>
    </row>
    <row r="38" spans="2:12" ht="16.2" thickBot="1" x14ac:dyDescent="0.35">
      <c r="B38" s="1" t="s">
        <v>158</v>
      </c>
      <c r="D38" s="57">
        <f>D36*D37</f>
        <v>16000000000</v>
      </c>
      <c r="I38" s="34"/>
    </row>
    <row r="39" spans="2:12" x14ac:dyDescent="0.3">
      <c r="D39" s="2"/>
      <c r="I39" s="34"/>
      <c r="K39" s="40"/>
    </row>
    <row r="40" spans="2:12" ht="16.2" thickBot="1" x14ac:dyDescent="0.35">
      <c r="B40" s="1" t="s">
        <v>159</v>
      </c>
      <c r="D40" s="63">
        <f>K35</f>
        <v>30500000000</v>
      </c>
      <c r="E40" s="34"/>
      <c r="F40" s="34"/>
      <c r="G40" s="34"/>
      <c r="H40" s="64"/>
      <c r="I40" s="34"/>
    </row>
    <row r="41" spans="2:12" x14ac:dyDescent="0.3">
      <c r="D41" s="41">
        <v>800</v>
      </c>
      <c r="E41" s="1" t="s">
        <v>150</v>
      </c>
    </row>
    <row r="42" spans="2:12" x14ac:dyDescent="0.3">
      <c r="D42" s="2"/>
    </row>
    <row r="43" spans="2:12" x14ac:dyDescent="0.3">
      <c r="B43" s="1" t="s">
        <v>183</v>
      </c>
      <c r="D43" s="2">
        <f>D40/D41</f>
        <v>38125000</v>
      </c>
      <c r="E43" s="1" t="s">
        <v>182</v>
      </c>
      <c r="F43" s="1">
        <v>2</v>
      </c>
      <c r="G43" s="35">
        <f>D43/F43</f>
        <v>19062500</v>
      </c>
    </row>
    <row r="44" spans="2:12" x14ac:dyDescent="0.3">
      <c r="B44" s="1" t="s">
        <v>184</v>
      </c>
      <c r="D44" s="2">
        <v>50000000</v>
      </c>
      <c r="E44" s="1" t="s">
        <v>182</v>
      </c>
      <c r="F44" s="1">
        <v>2</v>
      </c>
      <c r="G44" s="35">
        <f>D44/F44</f>
        <v>25000000</v>
      </c>
    </row>
    <row r="45" spans="2:12" ht="16.2" thickBot="1" x14ac:dyDescent="0.35">
      <c r="B45" s="1" t="s">
        <v>185</v>
      </c>
      <c r="D45" s="63">
        <f>G45</f>
        <v>44062500</v>
      </c>
      <c r="E45" s="34"/>
      <c r="F45" s="34"/>
      <c r="G45" s="63">
        <f>SUM(G43:G44)</f>
        <v>44062500</v>
      </c>
    </row>
    <row r="47" spans="2:12" x14ac:dyDescent="0.3">
      <c r="B47" s="1" t="s">
        <v>192</v>
      </c>
      <c r="D47" s="2">
        <v>10000000</v>
      </c>
      <c r="E47" s="1" t="s">
        <v>35</v>
      </c>
      <c r="F47" s="1">
        <v>3</v>
      </c>
      <c r="G47" s="2">
        <f>D47*F47</f>
        <v>30000000</v>
      </c>
      <c r="H47" s="32">
        <v>1</v>
      </c>
      <c r="I47" s="2">
        <f>G47*H47</f>
        <v>30000000</v>
      </c>
      <c r="J47" s="1" t="s">
        <v>59</v>
      </c>
      <c r="K47" s="2">
        <f>G47+I47</f>
        <v>60000000</v>
      </c>
    </row>
    <row r="48" spans="2:12" x14ac:dyDescent="0.3">
      <c r="B48" s="1" t="s">
        <v>191</v>
      </c>
    </row>
    <row r="50" spans="2:11" ht="16.2" thickBot="1" x14ac:dyDescent="0.35">
      <c r="B50" s="55" t="s">
        <v>190</v>
      </c>
      <c r="C50" s="55" t="s">
        <v>161</v>
      </c>
      <c r="D50" s="55" t="s">
        <v>162</v>
      </c>
    </row>
    <row r="51" spans="2:11" ht="16.2" thickBot="1" x14ac:dyDescent="0.35">
      <c r="D51" s="57">
        <v>8000000000</v>
      </c>
      <c r="E51" s="55" t="s">
        <v>154</v>
      </c>
      <c r="F51" s="7"/>
      <c r="H51" s="65"/>
      <c r="I51" s="4"/>
      <c r="J51" s="4"/>
      <c r="K51" s="5"/>
    </row>
    <row r="52" spans="2:11" x14ac:dyDescent="0.3">
      <c r="D52" s="2">
        <v>3500000000</v>
      </c>
      <c r="E52" s="1" t="s">
        <v>181</v>
      </c>
      <c r="H52" s="66"/>
      <c r="I52" s="7" t="s">
        <v>187</v>
      </c>
      <c r="J52" s="7"/>
      <c r="K52" s="8"/>
    </row>
    <row r="53" spans="2:11" x14ac:dyDescent="0.3">
      <c r="D53" s="2">
        <v>1750000000</v>
      </c>
      <c r="E53" s="1" t="s">
        <v>155</v>
      </c>
      <c r="H53" s="66"/>
      <c r="I53" s="67">
        <v>118484</v>
      </c>
      <c r="J53" s="7"/>
      <c r="K53" s="8"/>
    </row>
    <row r="54" spans="2:11" x14ac:dyDescent="0.3">
      <c r="D54" s="2">
        <v>1250000000</v>
      </c>
      <c r="E54" s="1" t="s">
        <v>146</v>
      </c>
      <c r="H54" s="66"/>
      <c r="I54" s="7">
        <v>1600</v>
      </c>
      <c r="J54" s="7"/>
      <c r="K54" s="8"/>
    </row>
    <row r="55" spans="2:11" ht="16.2" thickBot="1" x14ac:dyDescent="0.35">
      <c r="D55" s="2">
        <v>750000000</v>
      </c>
      <c r="E55" s="1" t="s">
        <v>178</v>
      </c>
      <c r="H55" s="66"/>
      <c r="I55" s="58">
        <f>I54/I53</f>
        <v>1.3503933020492218E-2</v>
      </c>
      <c r="J55" s="7" t="s">
        <v>171</v>
      </c>
      <c r="K55" s="8"/>
    </row>
    <row r="56" spans="2:11" x14ac:dyDescent="0.3">
      <c r="D56" s="2">
        <f>5000000*50</f>
        <v>250000000</v>
      </c>
      <c r="E56" s="1" t="s">
        <v>177</v>
      </c>
      <c r="H56" s="68"/>
      <c r="I56" s="10"/>
      <c r="J56" s="10"/>
      <c r="K56" s="11"/>
    </row>
    <row r="57" spans="2:11" x14ac:dyDescent="0.3">
      <c r="D57" s="2">
        <v>250000000</v>
      </c>
      <c r="E57" s="1" t="s">
        <v>179</v>
      </c>
      <c r="I57" s="62"/>
    </row>
    <row r="58" spans="2:11" x14ac:dyDescent="0.3">
      <c r="D58" s="2">
        <v>250000000</v>
      </c>
      <c r="E58" s="1" t="s">
        <v>148</v>
      </c>
    </row>
    <row r="59" spans="2:11" x14ac:dyDescent="0.3">
      <c r="D59" s="2"/>
    </row>
    <row r="60" spans="2:11" x14ac:dyDescent="0.3">
      <c r="D60" s="2"/>
    </row>
    <row r="61" spans="2:11" x14ac:dyDescent="0.3">
      <c r="D61" s="2"/>
    </row>
    <row r="62" spans="2:11" x14ac:dyDescent="0.3">
      <c r="D62" s="2"/>
    </row>
    <row r="63" spans="2:11" x14ac:dyDescent="0.3">
      <c r="D63" s="2"/>
    </row>
    <row r="64" spans="2:11" x14ac:dyDescent="0.3">
      <c r="D64" s="2"/>
    </row>
    <row r="65" spans="2:11" x14ac:dyDescent="0.3">
      <c r="D65" s="2"/>
    </row>
    <row r="66" spans="2:11" x14ac:dyDescent="0.3">
      <c r="D66" s="2"/>
    </row>
    <row r="67" spans="2:11" x14ac:dyDescent="0.3">
      <c r="D67" s="1" t="s">
        <v>163</v>
      </c>
    </row>
    <row r="68" spans="2:11" ht="16.2" thickBot="1" x14ac:dyDescent="0.35">
      <c r="D68" s="57">
        <v>8000000000</v>
      </c>
      <c r="E68" s="55" t="s">
        <v>145</v>
      </c>
      <c r="G68" s="1" t="s">
        <v>189</v>
      </c>
    </row>
    <row r="69" spans="2:11" x14ac:dyDescent="0.3">
      <c r="D69" s="2">
        <v>3000000000</v>
      </c>
      <c r="E69" s="1" t="s">
        <v>35</v>
      </c>
      <c r="F69" s="1">
        <v>2</v>
      </c>
      <c r="G69" s="2">
        <f t="shared" ref="G69:G72" si="1">D69*F69</f>
        <v>6000000000</v>
      </c>
      <c r="H69" s="32">
        <v>1</v>
      </c>
      <c r="I69" s="2">
        <f>G69*H69</f>
        <v>6000000000</v>
      </c>
      <c r="J69" s="1" t="s">
        <v>59</v>
      </c>
      <c r="K69" s="2">
        <f>G69+I69</f>
        <v>12000000000</v>
      </c>
    </row>
    <row r="70" spans="2:11" x14ac:dyDescent="0.3">
      <c r="D70" s="2">
        <f>K31</f>
        <v>9000000000</v>
      </c>
      <c r="E70" s="1" t="s">
        <v>147</v>
      </c>
      <c r="F70" s="1">
        <v>3</v>
      </c>
      <c r="G70" s="2">
        <f t="shared" si="1"/>
        <v>27000000000</v>
      </c>
      <c r="K70" s="2">
        <f>G70</f>
        <v>27000000000</v>
      </c>
    </row>
    <row r="71" spans="2:11" x14ac:dyDescent="0.3">
      <c r="D71" s="2">
        <f>K33</f>
        <v>4500000000</v>
      </c>
      <c r="E71" s="1" t="s">
        <v>156</v>
      </c>
      <c r="F71" s="1">
        <v>3</v>
      </c>
      <c r="G71" s="2">
        <f t="shared" si="1"/>
        <v>13500000000</v>
      </c>
      <c r="K71" s="2">
        <f>G71</f>
        <v>13500000000</v>
      </c>
    </row>
    <row r="72" spans="2:11" x14ac:dyDescent="0.3">
      <c r="D72" s="2">
        <f>K34</f>
        <v>2000000000</v>
      </c>
      <c r="E72" s="1" t="s">
        <v>101</v>
      </c>
      <c r="F72" s="1">
        <v>2</v>
      </c>
      <c r="G72" s="2">
        <f t="shared" si="1"/>
        <v>4000000000</v>
      </c>
      <c r="K72" s="2">
        <f>G72</f>
        <v>4000000000</v>
      </c>
    </row>
    <row r="73" spans="2:11" ht="16.2" thickBot="1" x14ac:dyDescent="0.35">
      <c r="D73" s="69">
        <f>SUM(D69:D72)</f>
        <v>18500000000</v>
      </c>
      <c r="G73" s="57">
        <f>SUM(G69:G72)</f>
        <v>50500000000</v>
      </c>
    </row>
    <row r="74" spans="2:11" ht="16.2" thickTop="1" x14ac:dyDescent="0.3">
      <c r="B74" s="1" t="s">
        <v>158</v>
      </c>
      <c r="D74" s="2">
        <f>D39</f>
        <v>0</v>
      </c>
    </row>
    <row r="75" spans="2:11" x14ac:dyDescent="0.3">
      <c r="B75" s="1" t="s">
        <v>159</v>
      </c>
      <c r="D75" s="2">
        <f>G73</f>
        <v>50500000000</v>
      </c>
    </row>
    <row r="77" spans="2:11" x14ac:dyDescent="0.3">
      <c r="B77" s="1" t="s">
        <v>164</v>
      </c>
      <c r="D77" s="18">
        <v>0.75</v>
      </c>
      <c r="E77" s="1" t="s">
        <v>165</v>
      </c>
    </row>
    <row r="78" spans="2:11" x14ac:dyDescent="0.3">
      <c r="B78" s="1" t="s">
        <v>166</v>
      </c>
      <c r="D78" s="18">
        <v>0.5</v>
      </c>
      <c r="E78" s="1" t="s">
        <v>167</v>
      </c>
    </row>
    <row r="79" spans="2:11" x14ac:dyDescent="0.3">
      <c r="D79" s="18">
        <v>0.25</v>
      </c>
      <c r="E79" s="1" t="s">
        <v>168</v>
      </c>
    </row>
    <row r="80" spans="2:11" x14ac:dyDescent="0.3">
      <c r="D80" s="30">
        <v>0.125</v>
      </c>
      <c r="E80" s="1" t="s">
        <v>169</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9162-E54E-47B7-87AF-F261079EC7CB}">
  <dimension ref="B2:B18"/>
  <sheetViews>
    <sheetView workbookViewId="0">
      <selection activeCell="I28" sqref="I28"/>
    </sheetView>
  </sheetViews>
  <sheetFormatPr defaultColWidth="8.88671875" defaultRowHeight="15.6" x14ac:dyDescent="0.3"/>
  <cols>
    <col min="1" max="16384" width="8.88671875" style="1"/>
  </cols>
  <sheetData>
    <row r="2" spans="2:2" x14ac:dyDescent="0.3">
      <c r="B2" s="1" t="s">
        <v>76</v>
      </c>
    </row>
    <row r="3" spans="2:2" x14ac:dyDescent="0.3">
      <c r="B3" s="116" t="s">
        <v>77</v>
      </c>
    </row>
    <row r="4" spans="2:2" x14ac:dyDescent="0.3">
      <c r="B4" s="116"/>
    </row>
    <row r="5" spans="2:2" x14ac:dyDescent="0.3">
      <c r="B5" s="116" t="s">
        <v>78</v>
      </c>
    </row>
    <row r="6" spans="2:2" x14ac:dyDescent="0.3">
      <c r="B6" s="1" t="s">
        <v>80</v>
      </c>
    </row>
    <row r="7" spans="2:2" x14ac:dyDescent="0.3">
      <c r="B7" s="1" t="s">
        <v>79</v>
      </c>
    </row>
    <row r="9" spans="2:2" x14ac:dyDescent="0.3">
      <c r="B9" s="1" t="s">
        <v>81</v>
      </c>
    </row>
    <row r="10" spans="2:2" x14ac:dyDescent="0.3">
      <c r="B10" s="117" t="s">
        <v>82</v>
      </c>
    </row>
    <row r="11" spans="2:2" x14ac:dyDescent="0.3">
      <c r="B11" s="117" t="s">
        <v>83</v>
      </c>
    </row>
    <row r="12" spans="2:2" x14ac:dyDescent="0.3">
      <c r="B12" s="117" t="s">
        <v>84</v>
      </c>
    </row>
    <row r="13" spans="2:2" x14ac:dyDescent="0.3">
      <c r="B13" s="117" t="s">
        <v>85</v>
      </c>
    </row>
    <row r="14" spans="2:2" x14ac:dyDescent="0.3">
      <c r="B14" s="117" t="s">
        <v>86</v>
      </c>
    </row>
    <row r="15" spans="2:2" x14ac:dyDescent="0.3">
      <c r="B15" s="117" t="s">
        <v>87</v>
      </c>
    </row>
    <row r="16" spans="2:2" x14ac:dyDescent="0.3">
      <c r="B16" s="117" t="s">
        <v>88</v>
      </c>
    </row>
    <row r="17" spans="2:2" x14ac:dyDescent="0.3">
      <c r="B17" s="117"/>
    </row>
    <row r="18" spans="2:2" x14ac:dyDescent="0.3">
      <c r="B18" s="117"/>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A2413-4C24-4DB5-8613-03867C04E96F}">
  <dimension ref="B2:AJ18"/>
  <sheetViews>
    <sheetView workbookViewId="0">
      <selection activeCell="O27" sqref="O27"/>
    </sheetView>
  </sheetViews>
  <sheetFormatPr defaultRowHeight="14.4" x14ac:dyDescent="0.3"/>
  <cols>
    <col min="3" max="3" width="26.5546875" bestFit="1" customWidth="1"/>
    <col min="4" max="4" width="3" bestFit="1" customWidth="1"/>
    <col min="5" max="5" width="5.33203125" bestFit="1" customWidth="1"/>
    <col min="6" max="11" width="5.5546875" customWidth="1"/>
    <col min="12" max="12" width="23.6640625" bestFit="1" customWidth="1"/>
    <col min="13" max="13" width="16" bestFit="1" customWidth="1"/>
    <col min="14" max="14" width="21" bestFit="1" customWidth="1"/>
    <col min="15" max="15" width="16.5546875" bestFit="1" customWidth="1"/>
    <col min="17" max="17" width="16" bestFit="1" customWidth="1"/>
    <col min="18" max="18" width="10.44140625" bestFit="1" customWidth="1"/>
    <col min="19" max="19" width="15" bestFit="1" customWidth="1"/>
    <col min="20" max="20" width="16" bestFit="1" customWidth="1"/>
    <col min="21" max="21" width="15" customWidth="1"/>
    <col min="22" max="22" width="4.5546875" bestFit="1" customWidth="1"/>
    <col min="23" max="24" width="15" customWidth="1"/>
    <col min="25" max="25" width="4" bestFit="1" customWidth="1"/>
    <col min="26" max="26" width="16" bestFit="1" customWidth="1"/>
    <col min="27" max="27" width="16" customWidth="1"/>
    <col min="28" max="28" width="10.44140625" customWidth="1"/>
    <col min="29" max="29" width="10.44140625" style="28" customWidth="1"/>
    <col min="31" max="31" width="18" bestFit="1" customWidth="1"/>
    <col min="32" max="32" width="19" bestFit="1" customWidth="1"/>
    <col min="33" max="33" width="18.88671875" bestFit="1" customWidth="1"/>
    <col min="34" max="34" width="16" customWidth="1"/>
    <col min="35" max="35" width="15" bestFit="1" customWidth="1"/>
    <col min="36" max="36" width="16" bestFit="1" customWidth="1"/>
  </cols>
  <sheetData>
    <row r="2" spans="2:36" x14ac:dyDescent="0.3">
      <c r="B2" t="s">
        <v>34</v>
      </c>
      <c r="L2" t="s">
        <v>60</v>
      </c>
      <c r="M2" t="s">
        <v>61</v>
      </c>
    </row>
    <row r="3" spans="2:36" x14ac:dyDescent="0.3">
      <c r="B3" t="s">
        <v>53</v>
      </c>
      <c r="K3" t="s">
        <v>59</v>
      </c>
    </row>
    <row r="4" spans="2:36" x14ac:dyDescent="0.3">
      <c r="D4" t="s">
        <v>91</v>
      </c>
      <c r="E4" t="s">
        <v>64</v>
      </c>
      <c r="F4" t="s">
        <v>90</v>
      </c>
      <c r="H4" t="s">
        <v>59</v>
      </c>
      <c r="I4" t="s">
        <v>64</v>
      </c>
      <c r="J4" t="s">
        <v>58</v>
      </c>
      <c r="K4" t="s">
        <v>58</v>
      </c>
      <c r="L4" t="s">
        <v>67</v>
      </c>
      <c r="M4" t="s">
        <v>68</v>
      </c>
      <c r="N4" t="s">
        <v>70</v>
      </c>
      <c r="O4" t="s">
        <v>71</v>
      </c>
      <c r="P4" t="s">
        <v>72</v>
      </c>
      <c r="R4" s="26" t="s">
        <v>73</v>
      </c>
      <c r="S4" t="s">
        <v>75</v>
      </c>
      <c r="T4" t="s">
        <v>74</v>
      </c>
      <c r="V4" t="s">
        <v>89</v>
      </c>
      <c r="W4" t="s">
        <v>89</v>
      </c>
    </row>
    <row r="5" spans="2:36" x14ac:dyDescent="0.3">
      <c r="C5" s="21" t="s">
        <v>69</v>
      </c>
      <c r="D5" s="21"/>
      <c r="E5" s="21"/>
      <c r="H5" t="s">
        <v>90</v>
      </c>
      <c r="L5" s="21"/>
      <c r="M5" s="21"/>
      <c r="N5" s="21"/>
      <c r="R5" s="26" t="s">
        <v>92</v>
      </c>
      <c r="AB5" t="s">
        <v>99</v>
      </c>
      <c r="AC5" s="28" t="s">
        <v>100</v>
      </c>
      <c r="AE5" t="s">
        <v>94</v>
      </c>
      <c r="AF5" t="s">
        <v>95</v>
      </c>
      <c r="AG5" t="s">
        <v>96</v>
      </c>
      <c r="AH5" t="s">
        <v>97</v>
      </c>
      <c r="AI5" t="s">
        <v>98</v>
      </c>
    </row>
    <row r="6" spans="2:36" x14ac:dyDescent="0.3">
      <c r="B6" t="s">
        <v>62</v>
      </c>
      <c r="C6" s="21" t="s">
        <v>56</v>
      </c>
      <c r="D6" s="21"/>
      <c r="E6" s="21"/>
      <c r="F6">
        <v>8</v>
      </c>
      <c r="I6">
        <v>8</v>
      </c>
      <c r="J6">
        <v>1</v>
      </c>
      <c r="K6">
        <f t="shared" ref="K6:K13" si="0">F6*J6</f>
        <v>8</v>
      </c>
      <c r="L6" s="21">
        <v>1000000</v>
      </c>
      <c r="M6" s="21">
        <f t="shared" ref="M6:M13" si="1">F6*L6</f>
        <v>8000000</v>
      </c>
      <c r="N6" s="21">
        <f>M6/F6</f>
        <v>1000000</v>
      </c>
      <c r="O6" s="21">
        <f>N6</f>
        <v>1000000</v>
      </c>
      <c r="P6" s="20">
        <v>2</v>
      </c>
      <c r="Q6" s="21">
        <f>O6*P6</f>
        <v>2000000</v>
      </c>
      <c r="R6" s="20">
        <v>0.25</v>
      </c>
      <c r="S6" s="21">
        <f>Q6*R6</f>
        <v>500000</v>
      </c>
      <c r="U6" s="21"/>
      <c r="V6" s="23">
        <v>0.1</v>
      </c>
      <c r="W6" s="21">
        <f>Q6*V6</f>
        <v>200000</v>
      </c>
      <c r="X6" s="21">
        <f>W6</f>
        <v>200000</v>
      </c>
      <c r="Y6" s="22">
        <f>F6</f>
        <v>8</v>
      </c>
      <c r="Z6" s="21">
        <f>X6*Y6</f>
        <v>1600000</v>
      </c>
      <c r="AA6" s="21"/>
      <c r="AB6">
        <v>2</v>
      </c>
      <c r="AC6" s="28">
        <f>H14</f>
        <v>592</v>
      </c>
      <c r="AD6">
        <v>2021</v>
      </c>
      <c r="AE6" s="21">
        <f>Z14</f>
        <v>26400000</v>
      </c>
      <c r="AF6" s="21">
        <f>AE6/2</f>
        <v>13200000</v>
      </c>
      <c r="AG6" s="21">
        <f>AE6</f>
        <v>26400000</v>
      </c>
      <c r="AH6" s="21">
        <f>AE6/2</f>
        <v>13200000</v>
      </c>
      <c r="AI6" s="21">
        <f>AH6</f>
        <v>13200000</v>
      </c>
      <c r="AJ6" s="21">
        <f>SUM(AE6:AI6)</f>
        <v>92400000</v>
      </c>
    </row>
    <row r="7" spans="2:36" x14ac:dyDescent="0.3">
      <c r="B7" t="s">
        <v>62</v>
      </c>
      <c r="C7" s="21" t="s">
        <v>57</v>
      </c>
      <c r="D7" s="21"/>
      <c r="E7" s="21"/>
      <c r="F7">
        <v>8</v>
      </c>
      <c r="I7">
        <v>32</v>
      </c>
      <c r="J7">
        <v>8</v>
      </c>
      <c r="K7">
        <f t="shared" si="0"/>
        <v>64</v>
      </c>
      <c r="L7" s="21">
        <v>2000000</v>
      </c>
      <c r="M7" s="21">
        <f t="shared" si="1"/>
        <v>16000000</v>
      </c>
      <c r="N7" s="21">
        <f t="shared" ref="N7:N11" si="2">M7/F7</f>
        <v>2000000</v>
      </c>
      <c r="O7" s="21">
        <f t="shared" ref="O7:O10" si="3">N7</f>
        <v>2000000</v>
      </c>
      <c r="P7" s="20">
        <v>2</v>
      </c>
      <c r="Q7" s="21">
        <f t="shared" ref="Q7:Q12" si="4">O7*P7</f>
        <v>4000000</v>
      </c>
      <c r="R7" s="20">
        <v>0.25</v>
      </c>
      <c r="S7" s="21">
        <f t="shared" ref="S7:S12" si="5">Q7*R7</f>
        <v>1000000</v>
      </c>
      <c r="T7" s="21"/>
      <c r="U7" s="21"/>
      <c r="V7" s="23">
        <f>V6</f>
        <v>0.1</v>
      </c>
      <c r="W7" s="21">
        <f t="shared" ref="W7:W12" si="6">Q7*V7</f>
        <v>400000</v>
      </c>
      <c r="X7" s="21">
        <f t="shared" ref="X7:X10" si="7">W7</f>
        <v>400000</v>
      </c>
      <c r="Y7" s="22">
        <f t="shared" ref="Y7:Y12" si="8">F7</f>
        <v>8</v>
      </c>
      <c r="Z7" s="21">
        <f t="shared" ref="Z7:Z12" si="9">X7*Y7</f>
        <v>3200000</v>
      </c>
      <c r="AA7" s="21"/>
      <c r="AB7">
        <v>4</v>
      </c>
      <c r="AC7" s="28">
        <f>AC6*2</f>
        <v>1184</v>
      </c>
      <c r="AD7">
        <v>2022</v>
      </c>
      <c r="AE7" s="21">
        <f>AE6*2</f>
        <v>52800000</v>
      </c>
      <c r="AF7" s="21">
        <f>AE7/2</f>
        <v>26400000</v>
      </c>
      <c r="AG7" s="21">
        <f>AE7</f>
        <v>52800000</v>
      </c>
      <c r="AH7" s="21">
        <f>AE7/2</f>
        <v>26400000</v>
      </c>
      <c r="AI7" s="21">
        <f>AH7</f>
        <v>26400000</v>
      </c>
      <c r="AJ7" s="21">
        <f>SUM(AE7:AI7)</f>
        <v>184800000</v>
      </c>
    </row>
    <row r="8" spans="2:36" x14ac:dyDescent="0.3">
      <c r="B8" t="s">
        <v>62</v>
      </c>
      <c r="C8" s="21" t="s">
        <v>55</v>
      </c>
      <c r="D8" s="21"/>
      <c r="E8" s="21"/>
      <c r="F8">
        <v>16</v>
      </c>
      <c r="I8">
        <v>8</v>
      </c>
      <c r="J8">
        <v>2</v>
      </c>
      <c r="K8">
        <f t="shared" si="0"/>
        <v>32</v>
      </c>
      <c r="L8" s="21">
        <v>1000000</v>
      </c>
      <c r="M8" s="21">
        <f t="shared" si="1"/>
        <v>16000000</v>
      </c>
      <c r="N8" s="21">
        <f t="shared" si="2"/>
        <v>1000000</v>
      </c>
      <c r="O8" s="21">
        <f t="shared" si="3"/>
        <v>1000000</v>
      </c>
      <c r="P8" s="20">
        <v>2</v>
      </c>
      <c r="Q8" s="21">
        <f t="shared" si="4"/>
        <v>2000000</v>
      </c>
      <c r="R8" s="20">
        <v>0.25</v>
      </c>
      <c r="S8" s="21">
        <f t="shared" si="5"/>
        <v>500000</v>
      </c>
      <c r="T8" s="21"/>
      <c r="U8" s="21"/>
      <c r="V8" s="23">
        <f t="shared" ref="V8:V12" si="10">V7</f>
        <v>0.1</v>
      </c>
      <c r="W8" s="21">
        <f t="shared" si="6"/>
        <v>200000</v>
      </c>
      <c r="X8" s="21">
        <f t="shared" si="7"/>
        <v>200000</v>
      </c>
      <c r="Y8" s="22">
        <f t="shared" si="8"/>
        <v>16</v>
      </c>
      <c r="Z8" s="21">
        <f t="shared" si="9"/>
        <v>3200000</v>
      </c>
      <c r="AA8" s="21"/>
      <c r="AB8">
        <v>6</v>
      </c>
      <c r="AC8" s="28">
        <f t="shared" ref="AC8:AC14" si="11">AC7*2</f>
        <v>2368</v>
      </c>
      <c r="AD8">
        <f>AD7+1</f>
        <v>2023</v>
      </c>
      <c r="AE8" s="21">
        <f t="shared" ref="AE8:AE14" si="12">AE7*2</f>
        <v>105600000</v>
      </c>
    </row>
    <row r="9" spans="2:36" x14ac:dyDescent="0.3">
      <c r="B9" t="s">
        <v>62</v>
      </c>
      <c r="C9" s="21" t="s">
        <v>63</v>
      </c>
      <c r="D9" s="21"/>
      <c r="E9" s="21"/>
      <c r="F9">
        <v>64</v>
      </c>
      <c r="I9">
        <v>6</v>
      </c>
      <c r="J9">
        <v>1</v>
      </c>
      <c r="K9">
        <f t="shared" si="0"/>
        <v>64</v>
      </c>
      <c r="L9" s="21">
        <v>500000</v>
      </c>
      <c r="M9" s="21">
        <f t="shared" si="1"/>
        <v>32000000</v>
      </c>
      <c r="N9" s="21">
        <f t="shared" si="2"/>
        <v>500000</v>
      </c>
      <c r="O9" s="21">
        <f t="shared" si="3"/>
        <v>500000</v>
      </c>
      <c r="P9" s="20">
        <v>2</v>
      </c>
      <c r="Q9" s="21">
        <f t="shared" si="4"/>
        <v>1000000</v>
      </c>
      <c r="R9" s="20">
        <v>0.25</v>
      </c>
      <c r="S9" s="21">
        <f t="shared" si="5"/>
        <v>250000</v>
      </c>
      <c r="T9" s="21"/>
      <c r="U9" s="21"/>
      <c r="V9" s="23">
        <f t="shared" si="10"/>
        <v>0.1</v>
      </c>
      <c r="W9" s="21">
        <f t="shared" si="6"/>
        <v>100000</v>
      </c>
      <c r="X9" s="21">
        <f t="shared" si="7"/>
        <v>100000</v>
      </c>
      <c r="Y9" s="22">
        <f t="shared" si="8"/>
        <v>64</v>
      </c>
      <c r="Z9" s="21">
        <f t="shared" si="9"/>
        <v>6400000</v>
      </c>
      <c r="AA9" s="21"/>
      <c r="AB9">
        <v>8</v>
      </c>
      <c r="AC9" s="28">
        <f t="shared" si="11"/>
        <v>4736</v>
      </c>
      <c r="AD9">
        <f t="shared" ref="AD9:AD17" si="13">AD8+1</f>
        <v>2024</v>
      </c>
      <c r="AE9" s="21">
        <f t="shared" si="12"/>
        <v>211200000</v>
      </c>
    </row>
    <row r="10" spans="2:36" x14ac:dyDescent="0.3">
      <c r="C10" s="21" t="s">
        <v>54</v>
      </c>
      <c r="D10" s="21"/>
      <c r="E10" s="21"/>
      <c r="F10">
        <v>128</v>
      </c>
      <c r="I10">
        <v>4</v>
      </c>
      <c r="J10">
        <v>0.5</v>
      </c>
      <c r="K10">
        <f t="shared" si="0"/>
        <v>64</v>
      </c>
      <c r="L10" s="21">
        <v>250000</v>
      </c>
      <c r="M10" s="21">
        <f t="shared" si="1"/>
        <v>32000000</v>
      </c>
      <c r="N10" s="21">
        <f t="shared" si="2"/>
        <v>250000</v>
      </c>
      <c r="O10" s="21">
        <f t="shared" si="3"/>
        <v>250000</v>
      </c>
      <c r="P10" s="20">
        <v>2</v>
      </c>
      <c r="Q10" s="21">
        <f t="shared" si="4"/>
        <v>500000</v>
      </c>
      <c r="R10" s="20">
        <v>0.25</v>
      </c>
      <c r="S10" s="21">
        <f t="shared" si="5"/>
        <v>125000</v>
      </c>
      <c r="T10" s="21"/>
      <c r="U10" s="21"/>
      <c r="V10" s="23">
        <f t="shared" si="10"/>
        <v>0.1</v>
      </c>
      <c r="W10" s="21">
        <f t="shared" si="6"/>
        <v>50000</v>
      </c>
      <c r="X10" s="21">
        <f t="shared" si="7"/>
        <v>50000</v>
      </c>
      <c r="Y10" s="22">
        <f t="shared" si="8"/>
        <v>128</v>
      </c>
      <c r="Z10" s="21">
        <f t="shared" si="9"/>
        <v>6400000</v>
      </c>
      <c r="AA10" s="21"/>
      <c r="AB10">
        <v>10</v>
      </c>
      <c r="AC10" s="28">
        <f t="shared" si="11"/>
        <v>9472</v>
      </c>
      <c r="AD10">
        <f t="shared" si="13"/>
        <v>2025</v>
      </c>
      <c r="AE10" s="21">
        <f t="shared" si="12"/>
        <v>422400000</v>
      </c>
    </row>
    <row r="11" spans="2:36" x14ac:dyDescent="0.3">
      <c r="C11" s="21" t="s">
        <v>65</v>
      </c>
      <c r="D11" s="22">
        <v>7</v>
      </c>
      <c r="E11" s="22">
        <v>3</v>
      </c>
      <c r="F11">
        <v>16</v>
      </c>
      <c r="G11">
        <f>D11*F11</f>
        <v>112</v>
      </c>
      <c r="I11">
        <f>D11*E11*F11</f>
        <v>336</v>
      </c>
      <c r="J11">
        <v>2</v>
      </c>
      <c r="K11">
        <f t="shared" si="0"/>
        <v>32</v>
      </c>
      <c r="L11" s="21">
        <v>750000</v>
      </c>
      <c r="M11" s="21">
        <f t="shared" si="1"/>
        <v>12000000</v>
      </c>
      <c r="N11" s="21">
        <f t="shared" si="2"/>
        <v>750000</v>
      </c>
      <c r="O11" s="21">
        <f>N11/D11</f>
        <v>107142.85714285714</v>
      </c>
      <c r="P11" s="20">
        <v>2</v>
      </c>
      <c r="Q11" s="21">
        <f t="shared" si="4"/>
        <v>214285.71428571429</v>
      </c>
      <c r="R11" s="20">
        <v>0.25</v>
      </c>
      <c r="S11" s="21">
        <f t="shared" si="5"/>
        <v>53571.428571428572</v>
      </c>
      <c r="T11" s="21"/>
      <c r="U11" s="21"/>
      <c r="V11" s="23">
        <f t="shared" si="10"/>
        <v>0.1</v>
      </c>
      <c r="W11" s="21">
        <f t="shared" si="6"/>
        <v>21428.571428571431</v>
      </c>
      <c r="X11" s="21">
        <f>D11*W11</f>
        <v>150000.00000000003</v>
      </c>
      <c r="Y11" s="22">
        <f t="shared" si="8"/>
        <v>16</v>
      </c>
      <c r="Z11" s="21">
        <f t="shared" si="9"/>
        <v>2400000.0000000005</v>
      </c>
      <c r="AA11" s="21"/>
      <c r="AB11">
        <v>12</v>
      </c>
      <c r="AC11" s="28">
        <f t="shared" si="11"/>
        <v>18944</v>
      </c>
      <c r="AD11">
        <f t="shared" si="13"/>
        <v>2026</v>
      </c>
      <c r="AE11" s="21">
        <f t="shared" si="12"/>
        <v>844800000</v>
      </c>
    </row>
    <row r="12" spans="2:36" x14ac:dyDescent="0.3">
      <c r="C12" s="21" t="s">
        <v>66</v>
      </c>
      <c r="D12">
        <v>16</v>
      </c>
      <c r="E12">
        <v>2</v>
      </c>
      <c r="F12">
        <v>16</v>
      </c>
      <c r="G12">
        <f>D12*F12</f>
        <v>256</v>
      </c>
      <c r="I12">
        <f>D12*E12*F12</f>
        <v>512</v>
      </c>
      <c r="J12">
        <v>2</v>
      </c>
      <c r="K12">
        <f t="shared" si="0"/>
        <v>32</v>
      </c>
      <c r="L12" s="21">
        <v>500000</v>
      </c>
      <c r="M12" s="21">
        <f t="shared" si="1"/>
        <v>8000000</v>
      </c>
      <c r="N12" s="21">
        <v>1000000</v>
      </c>
      <c r="O12" s="21">
        <f>N12/D12</f>
        <v>62500</v>
      </c>
      <c r="P12" s="20">
        <v>2</v>
      </c>
      <c r="Q12" s="21">
        <f t="shared" si="4"/>
        <v>125000</v>
      </c>
      <c r="R12" s="20">
        <v>0.25</v>
      </c>
      <c r="S12" s="21">
        <f t="shared" si="5"/>
        <v>31250</v>
      </c>
      <c r="T12" s="21"/>
      <c r="U12" s="21"/>
      <c r="V12" s="23">
        <f t="shared" si="10"/>
        <v>0.1</v>
      </c>
      <c r="W12" s="21">
        <f t="shared" si="6"/>
        <v>12500</v>
      </c>
      <c r="X12" s="21">
        <f>D12*W12</f>
        <v>200000</v>
      </c>
      <c r="Y12" s="22">
        <f t="shared" si="8"/>
        <v>16</v>
      </c>
      <c r="Z12" s="21">
        <f t="shared" si="9"/>
        <v>3200000</v>
      </c>
      <c r="AA12" s="21"/>
      <c r="AB12">
        <v>14</v>
      </c>
      <c r="AC12" s="28">
        <f t="shared" si="11"/>
        <v>37888</v>
      </c>
      <c r="AD12">
        <f t="shared" si="13"/>
        <v>2027</v>
      </c>
      <c r="AE12" s="21">
        <f t="shared" si="12"/>
        <v>1689600000</v>
      </c>
    </row>
    <row r="13" spans="2:36" x14ac:dyDescent="0.3">
      <c r="K13">
        <f t="shared" si="0"/>
        <v>0</v>
      </c>
      <c r="M13" s="21">
        <f t="shared" si="1"/>
        <v>0</v>
      </c>
      <c r="AB13">
        <v>16</v>
      </c>
      <c r="AC13" s="28">
        <f t="shared" si="11"/>
        <v>75776</v>
      </c>
      <c r="AD13">
        <f t="shared" si="13"/>
        <v>2028</v>
      </c>
      <c r="AE13" s="21">
        <f t="shared" si="12"/>
        <v>3379200000</v>
      </c>
    </row>
    <row r="14" spans="2:36" ht="15" thickBot="1" x14ac:dyDescent="0.35">
      <c r="F14" s="24">
        <f>SUM(F6:F10)</f>
        <v>224</v>
      </c>
      <c r="G14" s="24">
        <f>SUM(G11:G13)</f>
        <v>368</v>
      </c>
      <c r="H14" s="25">
        <f>SUM(F14:G14)</f>
        <v>592</v>
      </c>
      <c r="I14">
        <f>SUM(I6:I13)</f>
        <v>906</v>
      </c>
      <c r="K14">
        <f>SUM(K6:K13)</f>
        <v>296</v>
      </c>
      <c r="M14" s="21">
        <f>SUM(M6:M13)</f>
        <v>124000000</v>
      </c>
      <c r="P14" s="20">
        <v>2</v>
      </c>
      <c r="Q14" s="21">
        <f>M14*P14</f>
        <v>248000000</v>
      </c>
      <c r="R14" s="20">
        <v>0.25</v>
      </c>
      <c r="S14" s="21">
        <f t="shared" ref="S14" si="14">Q14*R14</f>
        <v>62000000</v>
      </c>
      <c r="T14" s="21">
        <f>Q14+S14</f>
        <v>310000000</v>
      </c>
      <c r="U14" s="21"/>
      <c r="V14" s="21"/>
      <c r="W14" s="21"/>
      <c r="X14" s="21"/>
      <c r="Y14" s="21"/>
      <c r="Z14" s="21">
        <f>SUM(Z6:Z13)</f>
        <v>26400000</v>
      </c>
      <c r="AA14" s="21"/>
      <c r="AB14">
        <v>18</v>
      </c>
      <c r="AC14" s="28">
        <f t="shared" si="11"/>
        <v>151552</v>
      </c>
      <c r="AD14">
        <f t="shared" si="13"/>
        <v>2029</v>
      </c>
      <c r="AE14" s="21">
        <f t="shared" si="12"/>
        <v>6758400000</v>
      </c>
    </row>
    <row r="15" spans="2:36" x14ac:dyDescent="0.3">
      <c r="T15" t="s">
        <v>93</v>
      </c>
      <c r="Z15">
        <v>500</v>
      </c>
      <c r="AD15">
        <f t="shared" si="13"/>
        <v>2030</v>
      </c>
      <c r="AE15" s="21"/>
    </row>
    <row r="16" spans="2:36" x14ac:dyDescent="0.3">
      <c r="T16" s="21">
        <f>Z14</f>
        <v>26400000</v>
      </c>
      <c r="Z16" s="21">
        <f>Z14/Z15</f>
        <v>52800</v>
      </c>
      <c r="AA16" s="21"/>
      <c r="AD16">
        <f t="shared" si="13"/>
        <v>2031</v>
      </c>
      <c r="AE16" s="21"/>
    </row>
    <row r="17" spans="19:31" ht="15" thickBot="1" x14ac:dyDescent="0.35">
      <c r="S17" t="s">
        <v>74</v>
      </c>
      <c r="T17" s="27">
        <f>SUM(T14:T16)</f>
        <v>336400000</v>
      </c>
      <c r="AB17">
        <f>SUM(AB6:AB16)</f>
        <v>90</v>
      </c>
      <c r="AD17">
        <f t="shared" si="13"/>
        <v>2032</v>
      </c>
      <c r="AE17" s="21"/>
    </row>
    <row r="18" spans="19:31" ht="15" thickTop="1" x14ac:dyDescent="0.3"/>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163C1-CB53-44CD-A383-7C28CD6D37F9}">
  <dimension ref="A1:AS62"/>
  <sheetViews>
    <sheetView workbookViewId="0">
      <selection activeCell="AN31" sqref="AN31"/>
    </sheetView>
  </sheetViews>
  <sheetFormatPr defaultColWidth="8.88671875" defaultRowHeight="15.6" x14ac:dyDescent="0.3"/>
  <cols>
    <col min="1" max="1" width="22.33203125" style="1" bestFit="1" customWidth="1"/>
    <col min="2" max="2" width="19" style="1" bestFit="1" customWidth="1"/>
    <col min="3" max="3" width="22.33203125" style="1" bestFit="1" customWidth="1"/>
    <col min="4" max="4" width="20" style="1" customWidth="1"/>
    <col min="5" max="5" width="7.33203125" style="1" customWidth="1"/>
    <col min="6" max="6" width="22.88671875" style="1" bestFit="1" customWidth="1"/>
    <col min="7" max="7" width="6.6640625" style="1" customWidth="1"/>
    <col min="8" max="8" width="22.33203125" style="1" customWidth="1"/>
    <col min="9" max="9" width="8.88671875" style="1"/>
    <col min="10" max="10" width="17.33203125" style="1" customWidth="1"/>
    <col min="11" max="11" width="8.88671875" style="1"/>
    <col min="12" max="12" width="21.33203125" style="1" bestFit="1" customWidth="1"/>
    <col min="13" max="13" width="8.88671875" style="1"/>
    <col min="14" max="14" width="15.109375" style="1" bestFit="1" customWidth="1"/>
    <col min="15" max="15" width="8.88671875" style="1"/>
    <col min="16" max="16" width="21.33203125" style="1" bestFit="1" customWidth="1"/>
    <col min="17" max="17" width="8.88671875" style="1"/>
    <col min="18" max="18" width="15.109375" style="1" bestFit="1" customWidth="1"/>
    <col min="19" max="19" width="8.88671875" style="1"/>
    <col min="20" max="20" width="21.33203125" style="1" bestFit="1" customWidth="1"/>
    <col min="21" max="21" width="8.88671875" style="1"/>
    <col min="22" max="22" width="15.109375" style="1" bestFit="1" customWidth="1"/>
    <col min="23" max="23" width="8.88671875" style="1"/>
    <col min="24" max="24" width="21.33203125" style="1" bestFit="1" customWidth="1"/>
    <col min="25" max="25" width="8.88671875" style="1"/>
    <col min="26" max="26" width="15.109375" style="1" bestFit="1" customWidth="1"/>
    <col min="27" max="27" width="8.88671875" style="1"/>
    <col min="28" max="28" width="21.33203125" style="1" bestFit="1" customWidth="1"/>
    <col min="29" max="29" width="6.44140625" style="1" bestFit="1" customWidth="1"/>
    <col min="30" max="30" width="15.109375" style="1" bestFit="1" customWidth="1"/>
    <col min="31" max="31" width="8.88671875" style="1"/>
    <col min="32" max="32" width="21.33203125" style="1" bestFit="1" customWidth="1"/>
    <col min="33" max="33" width="8.88671875" style="1"/>
    <col min="34" max="34" width="15.109375" style="1" bestFit="1" customWidth="1"/>
    <col min="35" max="35" width="8.88671875" style="1"/>
    <col min="36" max="36" width="23.6640625" style="1" customWidth="1"/>
    <col min="37" max="37" width="8.88671875" style="1"/>
    <col min="38" max="38" width="20" style="1" customWidth="1"/>
    <col min="39" max="39" width="2" style="1" customWidth="1"/>
    <col min="40" max="40" width="23.33203125" style="1" customWidth="1"/>
    <col min="41" max="41" width="8.88671875" style="1"/>
    <col min="42" max="42" width="19.33203125" style="1" bestFit="1" customWidth="1"/>
    <col min="43" max="43" width="20.33203125" style="1" bestFit="1" customWidth="1"/>
    <col min="44" max="44" width="19.109375" style="1" bestFit="1" customWidth="1"/>
    <col min="45" max="45" width="20.33203125" style="1" bestFit="1" customWidth="1"/>
    <col min="46" max="16384" width="8.88671875" style="1"/>
  </cols>
  <sheetData>
    <row r="1" spans="1:40" x14ac:dyDescent="0.3">
      <c r="D1" s="1">
        <v>8471093.75</v>
      </c>
      <c r="E1" s="1" t="s">
        <v>736</v>
      </c>
    </row>
    <row r="3" spans="1:40" x14ac:dyDescent="0.3">
      <c r="B3" s="13"/>
      <c r="C3" s="4"/>
      <c r="D3" s="120" t="s">
        <v>275</v>
      </c>
      <c r="E3" s="4"/>
      <c r="F3" s="120" t="s">
        <v>288</v>
      </c>
      <c r="G3" s="4"/>
      <c r="H3" s="170" t="s">
        <v>289</v>
      </c>
      <c r="I3" s="175" t="s">
        <v>297</v>
      </c>
      <c r="J3" s="170" t="s">
        <v>59</v>
      </c>
      <c r="K3" s="4"/>
      <c r="L3" s="121" t="s">
        <v>298</v>
      </c>
      <c r="M3" s="173" t="s">
        <v>297</v>
      </c>
      <c r="N3" s="121" t="s">
        <v>59</v>
      </c>
      <c r="O3" s="4"/>
      <c r="P3" s="170" t="s">
        <v>299</v>
      </c>
      <c r="Q3" s="175" t="s">
        <v>297</v>
      </c>
      <c r="R3" s="170" t="s">
        <v>59</v>
      </c>
      <c r="S3" s="4"/>
      <c r="T3" s="121" t="s">
        <v>300</v>
      </c>
      <c r="U3" s="173" t="s">
        <v>297</v>
      </c>
      <c r="V3" s="121" t="s">
        <v>59</v>
      </c>
      <c r="W3" s="4"/>
      <c r="X3" s="170" t="s">
        <v>301</v>
      </c>
      <c r="Y3" s="175" t="s">
        <v>297</v>
      </c>
      <c r="Z3" s="170" t="s">
        <v>59</v>
      </c>
      <c r="AA3" s="4"/>
      <c r="AB3" s="121" t="s">
        <v>302</v>
      </c>
      <c r="AC3" s="173" t="s">
        <v>297</v>
      </c>
      <c r="AD3" s="121" t="s">
        <v>59</v>
      </c>
      <c r="AE3" s="4"/>
      <c r="AF3" s="170" t="s">
        <v>303</v>
      </c>
      <c r="AG3" s="175" t="s">
        <v>297</v>
      </c>
      <c r="AH3" s="170" t="s">
        <v>59</v>
      </c>
      <c r="AI3" s="13"/>
      <c r="AJ3" s="121" t="s">
        <v>304</v>
      </c>
      <c r="AK3" s="173" t="s">
        <v>297</v>
      </c>
      <c r="AL3" s="121" t="s">
        <v>59</v>
      </c>
      <c r="AM3" s="4"/>
      <c r="AN3" s="121" t="s">
        <v>305</v>
      </c>
    </row>
    <row r="4" spans="1:40" x14ac:dyDescent="0.3">
      <c r="B4" s="122"/>
      <c r="C4" s="7"/>
      <c r="D4" s="123">
        <f>'UCS™ TWF Ťenders'!K70</f>
        <v>18112500</v>
      </c>
      <c r="E4" s="7"/>
      <c r="F4" s="124" t="s">
        <v>287</v>
      </c>
      <c r="G4" s="125"/>
      <c r="H4" s="171"/>
      <c r="I4" s="176"/>
      <c r="J4" s="171"/>
      <c r="K4" s="125"/>
      <c r="L4" s="126"/>
      <c r="M4" s="174"/>
      <c r="N4" s="126"/>
      <c r="O4" s="125"/>
      <c r="P4" s="171"/>
      <c r="Q4" s="176"/>
      <c r="R4" s="171"/>
      <c r="S4" s="125"/>
      <c r="T4" s="126"/>
      <c r="U4" s="174"/>
      <c r="V4" s="126"/>
      <c r="W4" s="125"/>
      <c r="X4" s="171"/>
      <c r="Y4" s="176"/>
      <c r="Z4" s="171"/>
      <c r="AA4" s="125"/>
      <c r="AB4" s="126"/>
      <c r="AC4" s="174"/>
      <c r="AD4" s="126"/>
      <c r="AE4" s="125"/>
      <c r="AF4" s="171"/>
      <c r="AG4" s="176"/>
      <c r="AH4" s="171"/>
      <c r="AI4" s="177"/>
      <c r="AJ4" s="126"/>
      <c r="AK4" s="174"/>
      <c r="AL4" s="126"/>
      <c r="AM4" s="7"/>
      <c r="AN4" s="126"/>
    </row>
    <row r="5" spans="1:40" x14ac:dyDescent="0.3">
      <c r="B5" s="122"/>
      <c r="C5" s="7"/>
      <c r="D5" s="7"/>
      <c r="E5" s="127"/>
      <c r="F5" s="127" t="s">
        <v>280</v>
      </c>
      <c r="G5" s="7"/>
      <c r="H5" s="128" t="s">
        <v>282</v>
      </c>
      <c r="I5" s="122"/>
      <c r="J5" s="8"/>
      <c r="K5" s="7"/>
      <c r="L5" s="168" t="s">
        <v>282</v>
      </c>
      <c r="M5" s="122"/>
      <c r="N5" s="8"/>
      <c r="O5" s="7"/>
      <c r="P5" s="128" t="s">
        <v>282</v>
      </c>
      <c r="Q5" s="122"/>
      <c r="R5" s="8"/>
      <c r="S5" s="7"/>
      <c r="T5" s="168" t="s">
        <v>282</v>
      </c>
      <c r="U5" s="122"/>
      <c r="V5" s="8"/>
      <c r="W5" s="7"/>
      <c r="X5" s="128" t="s">
        <v>282</v>
      </c>
      <c r="Y5" s="122"/>
      <c r="Z5" s="8"/>
      <c r="AA5" s="7"/>
      <c r="AB5" s="168" t="s">
        <v>282</v>
      </c>
      <c r="AC5" s="122"/>
      <c r="AD5" s="8"/>
      <c r="AE5" s="7"/>
      <c r="AF5" s="128" t="s">
        <v>282</v>
      </c>
      <c r="AG5" s="122"/>
      <c r="AH5" s="8"/>
      <c r="AI5" s="122"/>
      <c r="AJ5" s="168" t="s">
        <v>282</v>
      </c>
      <c r="AK5" s="122"/>
      <c r="AL5" s="8"/>
      <c r="AM5" s="7"/>
      <c r="AN5" s="126"/>
    </row>
    <row r="6" spans="1:40" x14ac:dyDescent="0.3">
      <c r="B6" s="122"/>
      <c r="C6" s="7"/>
      <c r="D6" s="7"/>
      <c r="E6" s="129">
        <v>0.25</v>
      </c>
      <c r="F6" s="130">
        <f>D10*E6</f>
        <v>503316.47999999998</v>
      </c>
      <c r="G6" s="131">
        <v>0.5</v>
      </c>
      <c r="H6" s="132">
        <f>F6*G6</f>
        <v>251658.23999999999</v>
      </c>
      <c r="I6" s="167">
        <v>0.95</v>
      </c>
      <c r="J6" s="132">
        <f>H6*I6</f>
        <v>239075.32799999998</v>
      </c>
      <c r="K6" s="169">
        <v>0.5</v>
      </c>
      <c r="L6" s="166">
        <f>J6*K6</f>
        <v>119537.66399999999</v>
      </c>
      <c r="M6" s="165">
        <v>0.95</v>
      </c>
      <c r="N6" s="166">
        <f>L6*M6</f>
        <v>113560.78079999998</v>
      </c>
      <c r="O6" s="131">
        <v>0.5</v>
      </c>
      <c r="P6" s="132">
        <f>N6*O6</f>
        <v>56780.390399999989</v>
      </c>
      <c r="Q6" s="167">
        <v>0.95</v>
      </c>
      <c r="R6" s="132">
        <f>P6*Q6</f>
        <v>53941.370879999988</v>
      </c>
      <c r="S6" s="169">
        <v>0.5</v>
      </c>
      <c r="T6" s="166">
        <f>R6*S6</f>
        <v>26970.685439999994</v>
      </c>
      <c r="U6" s="165">
        <v>0.95</v>
      </c>
      <c r="V6" s="166">
        <f>T6*U6</f>
        <v>25622.151167999993</v>
      </c>
      <c r="W6" s="131">
        <v>0.5</v>
      </c>
      <c r="X6" s="132">
        <f>V6*W6</f>
        <v>12811.075583999997</v>
      </c>
      <c r="Y6" s="167">
        <v>0.95</v>
      </c>
      <c r="Z6" s="132">
        <f>X6*Y6</f>
        <v>12170.521804799997</v>
      </c>
      <c r="AA6" s="169">
        <v>0.5</v>
      </c>
      <c r="AB6" s="166">
        <f>Z6*AA6</f>
        <v>6085.2609023999985</v>
      </c>
      <c r="AC6" s="165">
        <v>0.95</v>
      </c>
      <c r="AD6" s="166">
        <f>AB6*AC6</f>
        <v>5780.9978572799982</v>
      </c>
      <c r="AE6" s="131">
        <v>0.5</v>
      </c>
      <c r="AF6" s="132">
        <f>AD6*AE6</f>
        <v>2890.4989286399991</v>
      </c>
      <c r="AG6" s="167">
        <v>0.95</v>
      </c>
      <c r="AH6" s="132">
        <f>AF6*AG6</f>
        <v>2745.9739822079991</v>
      </c>
      <c r="AI6" s="178">
        <v>0.5</v>
      </c>
      <c r="AJ6" s="166">
        <f>AH6*AI6</f>
        <v>1372.9869911039996</v>
      </c>
      <c r="AK6" s="165">
        <v>0.95</v>
      </c>
      <c r="AL6" s="166">
        <f>AJ6*AK6</f>
        <v>1304.3376415487996</v>
      </c>
      <c r="AM6" s="7"/>
      <c r="AN6" s="161">
        <f>F6+H6+L6+P6+T6+X6+AB6+AF6+AJ6</f>
        <v>981423.28224614402</v>
      </c>
    </row>
    <row r="7" spans="1:40" x14ac:dyDescent="0.3">
      <c r="B7" s="122"/>
      <c r="C7" s="7"/>
      <c r="D7" s="7"/>
      <c r="E7" s="133"/>
      <c r="F7" s="134" t="s">
        <v>290</v>
      </c>
      <c r="G7" s="7"/>
      <c r="H7" s="128" t="s">
        <v>283</v>
      </c>
      <c r="I7" s="122"/>
      <c r="J7" s="8"/>
      <c r="K7" s="7"/>
      <c r="L7" s="168" t="s">
        <v>283</v>
      </c>
      <c r="M7" s="122"/>
      <c r="N7" s="8"/>
      <c r="O7" s="7"/>
      <c r="P7" s="128" t="s">
        <v>283</v>
      </c>
      <c r="Q7" s="122"/>
      <c r="R7" s="8"/>
      <c r="S7" s="7"/>
      <c r="T7" s="168" t="s">
        <v>283</v>
      </c>
      <c r="U7" s="122"/>
      <c r="V7" s="8"/>
      <c r="W7" s="7"/>
      <c r="X7" s="128" t="s">
        <v>283</v>
      </c>
      <c r="Y7" s="122"/>
      <c r="Z7" s="8"/>
      <c r="AA7" s="7"/>
      <c r="AB7" s="168" t="s">
        <v>283</v>
      </c>
      <c r="AC7" s="122"/>
      <c r="AD7" s="8"/>
      <c r="AE7" s="7"/>
      <c r="AF7" s="128" t="s">
        <v>283</v>
      </c>
      <c r="AG7" s="122"/>
      <c r="AH7" s="8"/>
      <c r="AI7" s="122"/>
      <c r="AJ7" s="168" t="s">
        <v>283</v>
      </c>
      <c r="AK7" s="122"/>
      <c r="AL7" s="8"/>
      <c r="AM7" s="7"/>
      <c r="AN7" s="126"/>
    </row>
    <row r="8" spans="1:40" x14ac:dyDescent="0.3">
      <c r="B8" s="122"/>
      <c r="C8" s="7"/>
      <c r="D8" s="7"/>
      <c r="E8" s="133">
        <v>0.25</v>
      </c>
      <c r="F8" s="135">
        <f>D10*E8</f>
        <v>503316.47999999998</v>
      </c>
      <c r="G8" s="131">
        <v>0.9</v>
      </c>
      <c r="H8" s="132">
        <f>F8*G8</f>
        <v>452984.83199999999</v>
      </c>
      <c r="I8" s="167">
        <v>0.95</v>
      </c>
      <c r="J8" s="132">
        <f>H8*I8</f>
        <v>430335.59039999999</v>
      </c>
      <c r="K8" s="169">
        <v>0.9</v>
      </c>
      <c r="L8" s="166">
        <f>J8*K8</f>
        <v>387302.03136000002</v>
      </c>
      <c r="M8" s="165">
        <v>0.95</v>
      </c>
      <c r="N8" s="166">
        <f>L8*M8</f>
        <v>367936.92979199998</v>
      </c>
      <c r="O8" s="131">
        <v>0.9</v>
      </c>
      <c r="P8" s="132">
        <f>N8*O8</f>
        <v>331143.23681279999</v>
      </c>
      <c r="Q8" s="167">
        <v>0.95</v>
      </c>
      <c r="R8" s="132">
        <f>P8*Q8</f>
        <v>314586.07497215999</v>
      </c>
      <c r="S8" s="169">
        <v>0.9</v>
      </c>
      <c r="T8" s="166">
        <f>R8*S8</f>
        <v>283127.46747494402</v>
      </c>
      <c r="U8" s="165">
        <v>0.95</v>
      </c>
      <c r="V8" s="166">
        <f>T8*U8</f>
        <v>268971.0941011968</v>
      </c>
      <c r="W8" s="131">
        <v>0.9</v>
      </c>
      <c r="X8" s="132">
        <f>V8*W8</f>
        <v>242073.98469107712</v>
      </c>
      <c r="Y8" s="167">
        <v>0.95</v>
      </c>
      <c r="Z8" s="132">
        <f>X8*Y8</f>
        <v>229970.28545652324</v>
      </c>
      <c r="AA8" s="169">
        <v>0.9</v>
      </c>
      <c r="AB8" s="166">
        <f>Z8*AA8</f>
        <v>206973.25691087093</v>
      </c>
      <c r="AC8" s="165">
        <v>0.95</v>
      </c>
      <c r="AD8" s="166">
        <f>AB8*AC8</f>
        <v>196624.59406532737</v>
      </c>
      <c r="AE8" s="131">
        <v>0.9</v>
      </c>
      <c r="AF8" s="132">
        <f>AD8*AE8</f>
        <v>176962.13465879465</v>
      </c>
      <c r="AG8" s="167">
        <v>0.95</v>
      </c>
      <c r="AH8" s="132">
        <f>AF8*AG8</f>
        <v>168114.0279258549</v>
      </c>
      <c r="AI8" s="178">
        <v>0.9</v>
      </c>
      <c r="AJ8" s="166">
        <f>AH8*AI8</f>
        <v>151302.62513326941</v>
      </c>
      <c r="AK8" s="165">
        <v>0.95</v>
      </c>
      <c r="AL8" s="166">
        <f>AJ8*AK8</f>
        <v>143737.49387660593</v>
      </c>
      <c r="AM8" s="7"/>
      <c r="AN8" s="161">
        <f>F8+H8+L8+P8+T8+X8+AB8+AF8+AJ8</f>
        <v>2735186.049041756</v>
      </c>
    </row>
    <row r="9" spans="1:40" x14ac:dyDescent="0.3">
      <c r="B9" s="122"/>
      <c r="C9" s="7"/>
      <c r="D9" s="7"/>
      <c r="E9" s="136"/>
      <c r="F9" s="136" t="s">
        <v>279</v>
      </c>
      <c r="G9" s="7"/>
      <c r="H9" s="128" t="s">
        <v>284</v>
      </c>
      <c r="I9" s="122"/>
      <c r="J9" s="8"/>
      <c r="K9" s="7"/>
      <c r="L9" s="168" t="s">
        <v>284</v>
      </c>
      <c r="M9" s="122"/>
      <c r="N9" s="8"/>
      <c r="O9" s="7"/>
      <c r="P9" s="128" t="s">
        <v>284</v>
      </c>
      <c r="Q9" s="122"/>
      <c r="R9" s="8"/>
      <c r="S9" s="7"/>
      <c r="T9" s="168" t="s">
        <v>284</v>
      </c>
      <c r="U9" s="122"/>
      <c r="V9" s="8"/>
      <c r="W9" s="7"/>
      <c r="X9" s="128" t="s">
        <v>284</v>
      </c>
      <c r="Y9" s="122"/>
      <c r="Z9" s="8"/>
      <c r="AA9" s="7"/>
      <c r="AB9" s="168" t="s">
        <v>284</v>
      </c>
      <c r="AC9" s="122"/>
      <c r="AD9" s="8"/>
      <c r="AE9" s="7"/>
      <c r="AF9" s="128" t="s">
        <v>284</v>
      </c>
      <c r="AG9" s="122"/>
      <c r="AH9" s="8"/>
      <c r="AI9" s="122"/>
      <c r="AJ9" s="168" t="s">
        <v>284</v>
      </c>
      <c r="AK9" s="122"/>
      <c r="AL9" s="8"/>
      <c r="AM9" s="7"/>
      <c r="AN9" s="126"/>
    </row>
    <row r="10" spans="1:40" x14ac:dyDescent="0.3">
      <c r="A10" s="162"/>
      <c r="B10" s="137" t="s">
        <v>291</v>
      </c>
      <c r="C10" s="138">
        <f>D10/D4</f>
        <v>0.11115339792960661</v>
      </c>
      <c r="D10" s="139">
        <f>'UCS™ TWF Ťenders'!F97</f>
        <v>2013265.9199999999</v>
      </c>
      <c r="E10" s="140">
        <v>0.5</v>
      </c>
      <c r="F10" s="139">
        <f>D10*E10</f>
        <v>1006632.96</v>
      </c>
      <c r="G10" s="131">
        <v>0.95</v>
      </c>
      <c r="H10" s="132">
        <f>F10*G10</f>
        <v>956301.31199999992</v>
      </c>
      <c r="I10" s="167">
        <v>0.95</v>
      </c>
      <c r="J10" s="132">
        <f>H10*I10</f>
        <v>908486.24639999983</v>
      </c>
      <c r="K10" s="169">
        <v>0.95</v>
      </c>
      <c r="L10" s="166">
        <f>J10*K10</f>
        <v>863061.9340799998</v>
      </c>
      <c r="M10" s="165">
        <v>0.95</v>
      </c>
      <c r="N10" s="166">
        <f>L10*M10</f>
        <v>819908.83737599978</v>
      </c>
      <c r="O10" s="131">
        <v>0.95</v>
      </c>
      <c r="P10" s="132">
        <f>N10*O10</f>
        <v>778913.39550719981</v>
      </c>
      <c r="Q10" s="167">
        <v>0.95</v>
      </c>
      <c r="R10" s="132">
        <f>P10*Q10</f>
        <v>739967.72573183978</v>
      </c>
      <c r="S10" s="169">
        <v>0.95</v>
      </c>
      <c r="T10" s="166">
        <f>R10*S10</f>
        <v>702969.33944524778</v>
      </c>
      <c r="U10" s="165">
        <v>0.95</v>
      </c>
      <c r="V10" s="166">
        <f>T10*U10</f>
        <v>667820.87247298541</v>
      </c>
      <c r="W10" s="131">
        <v>0.95</v>
      </c>
      <c r="X10" s="132">
        <f>V10*W10</f>
        <v>634429.82884933613</v>
      </c>
      <c r="Y10" s="167">
        <v>0.95</v>
      </c>
      <c r="Z10" s="132">
        <f>X10*Y10</f>
        <v>602708.33740686928</v>
      </c>
      <c r="AA10" s="169">
        <v>0.95</v>
      </c>
      <c r="AB10" s="166">
        <f>Z10*AA10</f>
        <v>572572.92053652578</v>
      </c>
      <c r="AC10" s="165">
        <v>0.95</v>
      </c>
      <c r="AD10" s="166">
        <f>AB10*AC10</f>
        <v>543944.27450969943</v>
      </c>
      <c r="AE10" s="131">
        <v>0.95</v>
      </c>
      <c r="AF10" s="132">
        <f>AD10*AE10</f>
        <v>516747.06078421441</v>
      </c>
      <c r="AG10" s="167">
        <v>0.95</v>
      </c>
      <c r="AH10" s="132">
        <f>AF10*AG10</f>
        <v>490909.70774500369</v>
      </c>
      <c r="AI10" s="178">
        <v>0.95</v>
      </c>
      <c r="AJ10" s="166">
        <f>AH10*AI10</f>
        <v>466364.22235775349</v>
      </c>
      <c r="AK10" s="165">
        <v>0.95</v>
      </c>
      <c r="AL10" s="166">
        <f>AJ10*AK10</f>
        <v>443046.01123986579</v>
      </c>
      <c r="AM10" s="7"/>
      <c r="AN10" s="161">
        <f>F10+H10+L10+P10+T10+X10+AB10+AF10+AJ10</f>
        <v>6497992.9735602764</v>
      </c>
    </row>
    <row r="11" spans="1:40" x14ac:dyDescent="0.3">
      <c r="A11" s="18"/>
      <c r="B11" s="141"/>
      <c r="C11" s="107"/>
      <c r="D11" s="91"/>
      <c r="E11" s="142"/>
      <c r="F11" s="91"/>
      <c r="G11" s="7"/>
      <c r="H11" s="8"/>
      <c r="I11" s="122"/>
      <c r="J11" s="8"/>
      <c r="K11" s="7"/>
      <c r="L11" s="8"/>
      <c r="M11" s="122"/>
      <c r="N11" s="8"/>
      <c r="O11" s="7"/>
      <c r="P11" s="8"/>
      <c r="Q11" s="122"/>
      <c r="R11" s="8"/>
      <c r="S11" s="7"/>
      <c r="T11" s="8"/>
      <c r="U11" s="122"/>
      <c r="V11" s="8"/>
      <c r="W11" s="7"/>
      <c r="X11" s="8"/>
      <c r="Y11" s="122"/>
      <c r="Z11" s="8"/>
      <c r="AA11" s="7"/>
      <c r="AB11" s="8"/>
      <c r="AC11" s="122"/>
      <c r="AD11" s="8"/>
      <c r="AE11" s="7"/>
      <c r="AF11" s="8"/>
      <c r="AG11" s="122"/>
      <c r="AH11" s="8"/>
      <c r="AI11" s="122"/>
      <c r="AJ11" s="8"/>
      <c r="AK11" s="122"/>
      <c r="AL11" s="8"/>
      <c r="AM11" s="7"/>
      <c r="AN11" s="126"/>
    </row>
    <row r="12" spans="1:40" s="88" customFormat="1" x14ac:dyDescent="0.3">
      <c r="A12" s="163"/>
      <c r="B12" s="141"/>
      <c r="C12" s="107"/>
      <c r="D12" s="91"/>
      <c r="E12" s="142"/>
      <c r="F12" s="399" t="s">
        <v>281</v>
      </c>
      <c r="G12" s="106"/>
      <c r="H12" s="128" t="s">
        <v>292</v>
      </c>
      <c r="I12" s="141"/>
      <c r="J12" s="164"/>
      <c r="K12" s="106"/>
      <c r="L12" s="168" t="s">
        <v>292</v>
      </c>
      <c r="M12" s="141"/>
      <c r="N12" s="164"/>
      <c r="O12" s="106"/>
      <c r="P12" s="128" t="s">
        <v>292</v>
      </c>
      <c r="Q12" s="141"/>
      <c r="R12" s="164"/>
      <c r="S12" s="106"/>
      <c r="T12" s="168" t="s">
        <v>292</v>
      </c>
      <c r="U12" s="141"/>
      <c r="V12" s="164"/>
      <c r="W12" s="106"/>
      <c r="X12" s="128" t="s">
        <v>292</v>
      </c>
      <c r="Y12" s="141"/>
      <c r="Z12" s="164"/>
      <c r="AA12" s="106"/>
      <c r="AB12" s="168" t="s">
        <v>292</v>
      </c>
      <c r="AC12" s="141"/>
      <c r="AD12" s="164"/>
      <c r="AE12" s="106"/>
      <c r="AF12" s="128" t="s">
        <v>292</v>
      </c>
      <c r="AG12" s="141"/>
      <c r="AH12" s="164"/>
      <c r="AI12" s="141"/>
      <c r="AJ12" s="168" t="s">
        <v>292</v>
      </c>
      <c r="AK12" s="141"/>
      <c r="AL12" s="164"/>
      <c r="AM12" s="106"/>
      <c r="AN12" s="126"/>
    </row>
    <row r="13" spans="1:40" x14ac:dyDescent="0.3">
      <c r="A13" s="18"/>
      <c r="B13" s="397" t="s">
        <v>276</v>
      </c>
      <c r="C13" s="398">
        <f>100%-C10-C16</f>
        <v>0.5625</v>
      </c>
      <c r="D13" s="399">
        <f>D4*C13</f>
        <v>10188281.25</v>
      </c>
      <c r="E13" s="400">
        <v>1</v>
      </c>
      <c r="F13" s="399">
        <f>D13*E13</f>
        <v>10188281.25</v>
      </c>
      <c r="G13" s="131">
        <v>0.9</v>
      </c>
      <c r="H13" s="132">
        <f>F13*G13</f>
        <v>9169453.125</v>
      </c>
      <c r="I13" s="167">
        <v>0.95</v>
      </c>
      <c r="J13" s="132">
        <f>H13*I13</f>
        <v>8710980.46875</v>
      </c>
      <c r="K13" s="169">
        <v>0.9</v>
      </c>
      <c r="L13" s="166">
        <f>J13*K13</f>
        <v>7839882.421875</v>
      </c>
      <c r="M13" s="165">
        <v>0.95</v>
      </c>
      <c r="N13" s="166">
        <f>L13*M13</f>
        <v>7447888.30078125</v>
      </c>
      <c r="O13" s="131">
        <v>0.9</v>
      </c>
      <c r="P13" s="132">
        <f>N13*O13</f>
        <v>6703099.470703125</v>
      </c>
      <c r="Q13" s="167">
        <v>0.95</v>
      </c>
      <c r="R13" s="132">
        <f>P13*Q13</f>
        <v>6367944.4971679682</v>
      </c>
      <c r="S13" s="169">
        <v>0.9</v>
      </c>
      <c r="T13" s="166">
        <f>R13*S13</f>
        <v>5731150.0474511711</v>
      </c>
      <c r="U13" s="165">
        <v>0.95</v>
      </c>
      <c r="V13" s="166">
        <f>T13*U13</f>
        <v>5444592.5450786119</v>
      </c>
      <c r="W13" s="131">
        <v>0.9</v>
      </c>
      <c r="X13" s="132">
        <f>V13*W13</f>
        <v>4900133.2905707508</v>
      </c>
      <c r="Y13" s="167">
        <v>0.95</v>
      </c>
      <c r="Z13" s="132">
        <f>X13*Y13</f>
        <v>4655126.6260422133</v>
      </c>
      <c r="AA13" s="169">
        <v>0.9</v>
      </c>
      <c r="AB13" s="166">
        <f>Z13*AA13</f>
        <v>4189613.9634379921</v>
      </c>
      <c r="AC13" s="165">
        <v>0.95</v>
      </c>
      <c r="AD13" s="166">
        <f>AB13*AC13</f>
        <v>3980133.2652660925</v>
      </c>
      <c r="AE13" s="131">
        <v>0.9</v>
      </c>
      <c r="AF13" s="132">
        <f>AD13*AE13</f>
        <v>3582119.9387394832</v>
      </c>
      <c r="AG13" s="167">
        <v>0.95</v>
      </c>
      <c r="AH13" s="132">
        <f>AF13*AG13</f>
        <v>3403013.9418025091</v>
      </c>
      <c r="AI13" s="178">
        <v>0.9</v>
      </c>
      <c r="AJ13" s="166">
        <f>AH13*AI13</f>
        <v>3062712.5476222583</v>
      </c>
      <c r="AK13" s="165">
        <v>0.95</v>
      </c>
      <c r="AL13" s="166">
        <f>AJ13*AK13</f>
        <v>2909576.9202411454</v>
      </c>
      <c r="AM13" s="7"/>
      <c r="AN13" s="161">
        <f>F13+H13+L13+P13+T13+X13+AB13+AF13+AJ13</f>
        <v>55366446.055399776</v>
      </c>
    </row>
    <row r="14" spans="1:40" x14ac:dyDescent="0.3">
      <c r="A14" s="85"/>
      <c r="B14" s="403"/>
      <c r="C14" s="118"/>
      <c r="D14" s="402"/>
      <c r="E14" s="7"/>
      <c r="F14" s="7"/>
      <c r="G14" s="7"/>
      <c r="H14" s="8"/>
      <c r="I14" s="122"/>
      <c r="J14" s="8"/>
      <c r="K14" s="7"/>
      <c r="L14" s="8"/>
      <c r="M14" s="122"/>
      <c r="N14" s="8"/>
      <c r="O14" s="7"/>
      <c r="P14" s="8"/>
      <c r="Q14" s="122"/>
      <c r="R14" s="8"/>
      <c r="S14" s="7"/>
      <c r="T14" s="8"/>
      <c r="U14" s="122"/>
      <c r="V14" s="8"/>
      <c r="W14" s="7"/>
      <c r="X14" s="8"/>
      <c r="Y14" s="122"/>
      <c r="Z14" s="8"/>
      <c r="AA14" s="7"/>
      <c r="AB14" s="8"/>
      <c r="AC14" s="122"/>
      <c r="AD14" s="8"/>
      <c r="AE14" s="7"/>
      <c r="AF14" s="8"/>
      <c r="AG14" s="122"/>
      <c r="AH14" s="8"/>
      <c r="AI14" s="122"/>
      <c r="AJ14" s="8"/>
      <c r="AK14" s="122"/>
      <c r="AL14" s="8"/>
      <c r="AM14" s="7"/>
      <c r="AN14" s="126"/>
    </row>
    <row r="15" spans="1:40" x14ac:dyDescent="0.3">
      <c r="B15" s="122"/>
      <c r="C15" s="95"/>
      <c r="D15" s="87"/>
      <c r="E15" s="148"/>
      <c r="F15" s="148" t="s">
        <v>147</v>
      </c>
      <c r="G15" s="7"/>
      <c r="H15" s="128" t="s">
        <v>285</v>
      </c>
      <c r="I15" s="122"/>
      <c r="J15" s="8"/>
      <c r="K15" s="7"/>
      <c r="L15" s="168" t="s">
        <v>285</v>
      </c>
      <c r="M15" s="122"/>
      <c r="N15" s="8"/>
      <c r="O15" s="7"/>
      <c r="P15" s="128" t="s">
        <v>285</v>
      </c>
      <c r="Q15" s="122"/>
      <c r="R15" s="8"/>
      <c r="S15" s="7"/>
      <c r="T15" s="168" t="s">
        <v>285</v>
      </c>
      <c r="U15" s="122"/>
      <c r="V15" s="8"/>
      <c r="W15" s="7"/>
      <c r="X15" s="128" t="s">
        <v>285</v>
      </c>
      <c r="Y15" s="122"/>
      <c r="Z15" s="8"/>
      <c r="AA15" s="7"/>
      <c r="AB15" s="168" t="s">
        <v>285</v>
      </c>
      <c r="AC15" s="122"/>
      <c r="AD15" s="8"/>
      <c r="AE15" s="7"/>
      <c r="AF15" s="128" t="s">
        <v>285</v>
      </c>
      <c r="AG15" s="122"/>
      <c r="AH15" s="8"/>
      <c r="AI15" s="122"/>
      <c r="AJ15" s="168" t="s">
        <v>285</v>
      </c>
      <c r="AK15" s="122"/>
      <c r="AL15" s="8"/>
      <c r="AM15" s="7"/>
      <c r="AN15" s="126"/>
    </row>
    <row r="16" spans="1:40" x14ac:dyDescent="0.3">
      <c r="B16" s="149" t="s">
        <v>737</v>
      </c>
      <c r="C16" s="150">
        <f>D16/D4</f>
        <v>0.3263466020703934</v>
      </c>
      <c r="D16" s="151">
        <f>'UCS™ TWF Ťenders'!D131</f>
        <v>5910952.8300000001</v>
      </c>
      <c r="E16" s="152">
        <v>0.3</v>
      </c>
      <c r="F16" s="151">
        <f>D16*E16</f>
        <v>1773285.8489999999</v>
      </c>
      <c r="G16" s="131">
        <v>0.9</v>
      </c>
      <c r="H16" s="132">
        <f>F16*G16</f>
        <v>1595957.2641</v>
      </c>
      <c r="I16" s="167">
        <v>0.95</v>
      </c>
      <c r="J16" s="132">
        <f>H16*I16</f>
        <v>1516159.400895</v>
      </c>
      <c r="K16" s="169">
        <v>0.9</v>
      </c>
      <c r="L16" s="166">
        <f>J16*K16</f>
        <v>1364543.4608054999</v>
      </c>
      <c r="M16" s="165">
        <v>0.95</v>
      </c>
      <c r="N16" s="166">
        <f>L16*M16</f>
        <v>1296316.2877652249</v>
      </c>
      <c r="O16" s="131">
        <v>0.9</v>
      </c>
      <c r="P16" s="132">
        <f>N16*O16</f>
        <v>1166684.6589887026</v>
      </c>
      <c r="Q16" s="167">
        <v>0.95</v>
      </c>
      <c r="R16" s="132">
        <f>P16*Q16</f>
        <v>1108350.4260392673</v>
      </c>
      <c r="S16" s="169">
        <v>0.9</v>
      </c>
      <c r="T16" s="166">
        <f>R16*S16</f>
        <v>997515.3834353406</v>
      </c>
      <c r="U16" s="165">
        <v>0.95</v>
      </c>
      <c r="V16" s="166">
        <f>T16*U16</f>
        <v>947639.61426357355</v>
      </c>
      <c r="W16" s="131">
        <v>0.9</v>
      </c>
      <c r="X16" s="132">
        <f>V16*W16</f>
        <v>852875.65283721616</v>
      </c>
      <c r="Y16" s="167">
        <v>0.95</v>
      </c>
      <c r="Z16" s="132">
        <f>X16*Y16</f>
        <v>810231.87019535527</v>
      </c>
      <c r="AA16" s="169">
        <v>0.9</v>
      </c>
      <c r="AB16" s="166">
        <f>Z16*AA16</f>
        <v>729208.68317581981</v>
      </c>
      <c r="AC16" s="165">
        <v>0.95</v>
      </c>
      <c r="AD16" s="166">
        <f>AB16*AC16</f>
        <v>692748.24901702884</v>
      </c>
      <c r="AE16" s="131">
        <v>0.9</v>
      </c>
      <c r="AF16" s="132">
        <f>AD16*AE16</f>
        <v>623473.42411532602</v>
      </c>
      <c r="AG16" s="167">
        <v>0.95</v>
      </c>
      <c r="AH16" s="132">
        <f>AF16*AG16</f>
        <v>592299.75290955964</v>
      </c>
      <c r="AI16" s="178">
        <v>0.9</v>
      </c>
      <c r="AJ16" s="166">
        <f>AH16*AI16</f>
        <v>533069.77761860366</v>
      </c>
      <c r="AK16" s="165">
        <v>0.95</v>
      </c>
      <c r="AL16" s="166">
        <f>AJ16*AK16</f>
        <v>506416.28873767343</v>
      </c>
      <c r="AM16" s="7"/>
      <c r="AN16" s="161">
        <f>F16+H16+L16+P16+T16+X16+AB16+AF16+AJ16</f>
        <v>9636614.1540765092</v>
      </c>
    </row>
    <row r="17" spans="1:45" x14ac:dyDescent="0.3">
      <c r="B17" s="141"/>
      <c r="C17" s="429"/>
      <c r="D17" s="91"/>
      <c r="E17" s="430"/>
      <c r="F17" s="432" t="s">
        <v>738</v>
      </c>
      <c r="G17" s="142"/>
      <c r="H17" s="436" t="s">
        <v>738</v>
      </c>
      <c r="I17" s="433"/>
      <c r="J17" s="434"/>
      <c r="K17" s="142"/>
      <c r="L17" s="435" t="s">
        <v>738</v>
      </c>
      <c r="M17" s="433"/>
      <c r="N17" s="434"/>
      <c r="O17" s="142"/>
      <c r="P17" s="436" t="s">
        <v>738</v>
      </c>
      <c r="Q17" s="433"/>
      <c r="R17" s="434"/>
      <c r="S17" s="142"/>
      <c r="T17" s="435" t="s">
        <v>738</v>
      </c>
      <c r="U17" s="433"/>
      <c r="V17" s="434"/>
      <c r="W17" s="142"/>
      <c r="X17" s="436" t="s">
        <v>738</v>
      </c>
      <c r="Y17" s="433"/>
      <c r="Z17" s="434"/>
      <c r="AA17" s="142"/>
      <c r="AB17" s="435" t="s">
        <v>738</v>
      </c>
      <c r="AC17" s="433"/>
      <c r="AD17" s="434"/>
      <c r="AE17" s="142"/>
      <c r="AF17" s="436" t="s">
        <v>738</v>
      </c>
      <c r="AG17" s="433"/>
      <c r="AH17" s="434"/>
      <c r="AI17" s="437"/>
      <c r="AJ17" s="435" t="s">
        <v>738</v>
      </c>
      <c r="AK17" s="433"/>
      <c r="AL17" s="434"/>
      <c r="AM17" s="7"/>
      <c r="AN17" s="180"/>
    </row>
    <row r="18" spans="1:45" x14ac:dyDescent="0.3">
      <c r="B18" s="141"/>
      <c r="C18" s="429"/>
      <c r="D18" s="91"/>
      <c r="E18" s="430">
        <v>0.25</v>
      </c>
      <c r="F18" s="431">
        <f>D16*E18</f>
        <v>1477738.2075</v>
      </c>
      <c r="G18" s="131">
        <v>0.95</v>
      </c>
      <c r="H18" s="132">
        <f>F18*G18</f>
        <v>1403851.297125</v>
      </c>
      <c r="I18" s="167">
        <v>0.95</v>
      </c>
      <c r="J18" s="132">
        <f>H18*I18</f>
        <v>1333658.73226875</v>
      </c>
      <c r="K18" s="169">
        <v>0.95</v>
      </c>
      <c r="L18" s="166">
        <f>J18*K18</f>
        <v>1266975.7956553125</v>
      </c>
      <c r="M18" s="165">
        <v>0.95</v>
      </c>
      <c r="N18" s="166">
        <f>L18*M18</f>
        <v>1203627.0058725467</v>
      </c>
      <c r="O18" s="131">
        <v>0.95</v>
      </c>
      <c r="P18" s="132">
        <f>N18*O18</f>
        <v>1143445.6555789192</v>
      </c>
      <c r="Q18" s="167">
        <v>0.95</v>
      </c>
      <c r="R18" s="132">
        <f>P18*Q18</f>
        <v>1086273.3727999732</v>
      </c>
      <c r="S18" s="169">
        <v>0.95</v>
      </c>
      <c r="T18" s="166">
        <f>R18*S18</f>
        <v>1031959.7041599745</v>
      </c>
      <c r="U18" s="165">
        <v>0.95</v>
      </c>
      <c r="V18" s="166">
        <f>T18*U18</f>
        <v>980361.71895197569</v>
      </c>
      <c r="W18" s="131">
        <v>0.95</v>
      </c>
      <c r="X18" s="132">
        <f>V18*W18</f>
        <v>931343.6330043769</v>
      </c>
      <c r="Y18" s="167">
        <v>0.95</v>
      </c>
      <c r="Z18" s="132">
        <f>X18*Y18</f>
        <v>884776.45135415799</v>
      </c>
      <c r="AA18" s="169">
        <v>0.95</v>
      </c>
      <c r="AB18" s="166">
        <f>Z18*AA18</f>
        <v>840537.62878645002</v>
      </c>
      <c r="AC18" s="165">
        <v>0.95</v>
      </c>
      <c r="AD18" s="166">
        <f>AB18*AC18</f>
        <v>798510.74734712753</v>
      </c>
      <c r="AE18" s="131">
        <v>0.95</v>
      </c>
      <c r="AF18" s="132">
        <f>AD18*AE18</f>
        <v>758585.20997977117</v>
      </c>
      <c r="AG18" s="167">
        <v>0.95</v>
      </c>
      <c r="AH18" s="132">
        <f>AF18*AG18</f>
        <v>720655.94948078261</v>
      </c>
      <c r="AI18" s="178">
        <v>0.95</v>
      </c>
      <c r="AJ18" s="166">
        <f>AH18*AI18</f>
        <v>684623.15200674348</v>
      </c>
      <c r="AK18" s="165">
        <v>0.95</v>
      </c>
      <c r="AL18" s="166">
        <f>AJ18*AK18</f>
        <v>650391.9944064063</v>
      </c>
      <c r="AM18" s="7"/>
      <c r="AN18" s="161">
        <f>F18+H18+L18+P18+T18+X18+AB18+AF18+AJ18</f>
        <v>9539060.283796547</v>
      </c>
    </row>
    <row r="19" spans="1:45" ht="16.2" thickBot="1" x14ac:dyDescent="0.35">
      <c r="B19" s="122"/>
      <c r="C19" s="94">
        <f>SUM(C10:C16)</f>
        <v>1</v>
      </c>
      <c r="D19" s="7"/>
      <c r="E19" s="153"/>
      <c r="F19" s="154" t="s">
        <v>293</v>
      </c>
      <c r="G19" s="7"/>
      <c r="H19" s="128" t="s">
        <v>294</v>
      </c>
      <c r="I19" s="122"/>
      <c r="J19" s="8"/>
      <c r="K19" s="7"/>
      <c r="L19" s="168" t="s">
        <v>294</v>
      </c>
      <c r="M19" s="122"/>
      <c r="N19" s="8"/>
      <c r="O19" s="7"/>
      <c r="P19" s="128" t="s">
        <v>294</v>
      </c>
      <c r="Q19" s="122"/>
      <c r="R19" s="8"/>
      <c r="S19" s="7"/>
      <c r="T19" s="168" t="s">
        <v>294</v>
      </c>
      <c r="U19" s="122"/>
      <c r="V19" s="8"/>
      <c r="W19" s="7"/>
      <c r="X19" s="128" t="s">
        <v>294</v>
      </c>
      <c r="Y19" s="122"/>
      <c r="Z19" s="8"/>
      <c r="AA19" s="7"/>
      <c r="AB19" s="168" t="s">
        <v>294</v>
      </c>
      <c r="AC19" s="122"/>
      <c r="AD19" s="8"/>
      <c r="AE19" s="7"/>
      <c r="AF19" s="128" t="s">
        <v>294</v>
      </c>
      <c r="AG19" s="122"/>
      <c r="AH19" s="8"/>
      <c r="AI19" s="122"/>
      <c r="AJ19" s="168" t="s">
        <v>294</v>
      </c>
      <c r="AK19" s="122"/>
      <c r="AL19" s="8"/>
      <c r="AM19" s="7"/>
      <c r="AN19" s="126"/>
    </row>
    <row r="20" spans="1:45" x14ac:dyDescent="0.3">
      <c r="B20" s="122"/>
      <c r="C20" s="7"/>
      <c r="D20" s="7"/>
      <c r="E20" s="153">
        <v>0.2</v>
      </c>
      <c r="F20" s="99">
        <f>D16*E20</f>
        <v>1182190.5660000001</v>
      </c>
      <c r="G20" s="131">
        <v>0.9</v>
      </c>
      <c r="H20" s="132">
        <f>F20*G20</f>
        <v>1063971.5094000001</v>
      </c>
      <c r="I20" s="167">
        <v>0.95</v>
      </c>
      <c r="J20" s="132">
        <f>H20*I20</f>
        <v>1010772.9339300001</v>
      </c>
      <c r="K20" s="169">
        <v>0.9</v>
      </c>
      <c r="L20" s="166">
        <f>J20*K20</f>
        <v>909695.64053700003</v>
      </c>
      <c r="M20" s="165">
        <v>0.95</v>
      </c>
      <c r="N20" s="166">
        <f>L20*M20</f>
        <v>864210.85851014999</v>
      </c>
      <c r="O20" s="131">
        <v>0.9</v>
      </c>
      <c r="P20" s="132">
        <f>N20*O20</f>
        <v>777789.77265913505</v>
      </c>
      <c r="Q20" s="167">
        <v>0.95</v>
      </c>
      <c r="R20" s="132">
        <f>P20*Q20</f>
        <v>738900.2840261783</v>
      </c>
      <c r="S20" s="169">
        <v>0.9</v>
      </c>
      <c r="T20" s="166">
        <f>R20*S20</f>
        <v>665010.25562356052</v>
      </c>
      <c r="U20" s="165">
        <v>0.95</v>
      </c>
      <c r="V20" s="166">
        <f>T20*U20</f>
        <v>631759.7428423824</v>
      </c>
      <c r="W20" s="131">
        <v>0.9</v>
      </c>
      <c r="X20" s="132">
        <f>V20*W20</f>
        <v>568583.76855814422</v>
      </c>
      <c r="Y20" s="167">
        <v>0.95</v>
      </c>
      <c r="Z20" s="132">
        <f>X20*Y20</f>
        <v>540154.58013023704</v>
      </c>
      <c r="AA20" s="169">
        <v>0.9</v>
      </c>
      <c r="AB20" s="166">
        <f>Z20*AA20</f>
        <v>486139.12211721332</v>
      </c>
      <c r="AC20" s="165">
        <v>0.95</v>
      </c>
      <c r="AD20" s="166">
        <f>AB20*AC20</f>
        <v>461832.16601135262</v>
      </c>
      <c r="AE20" s="131">
        <v>0.9</v>
      </c>
      <c r="AF20" s="132">
        <f>AD20*AE20</f>
        <v>415648.94941021735</v>
      </c>
      <c r="AG20" s="167">
        <v>0.95</v>
      </c>
      <c r="AH20" s="132">
        <f>AF20*AG20</f>
        <v>394866.50193970645</v>
      </c>
      <c r="AI20" s="178">
        <v>0.9</v>
      </c>
      <c r="AJ20" s="166">
        <f>AH20*AI20</f>
        <v>355379.8517457358</v>
      </c>
      <c r="AK20" s="165">
        <v>0.95</v>
      </c>
      <c r="AL20" s="166">
        <f>AJ20*AK20</f>
        <v>337610.85915844899</v>
      </c>
      <c r="AM20" s="7"/>
      <c r="AN20" s="161">
        <f>F20+H20+L20+P20+T20+X20+AB20+AF20+AJ20</f>
        <v>6424409.4360510074</v>
      </c>
    </row>
    <row r="21" spans="1:45" x14ac:dyDescent="0.3">
      <c r="B21" s="122"/>
      <c r="C21" s="7"/>
      <c r="D21" s="7"/>
      <c r="E21" s="155"/>
      <c r="F21" s="155" t="s">
        <v>733</v>
      </c>
      <c r="G21" s="7"/>
      <c r="H21" s="128" t="s">
        <v>733</v>
      </c>
      <c r="I21" s="122"/>
      <c r="J21" s="8"/>
      <c r="K21" s="7"/>
      <c r="L21" s="168" t="s">
        <v>733</v>
      </c>
      <c r="M21" s="122"/>
      <c r="N21" s="8"/>
      <c r="O21" s="7"/>
      <c r="P21" s="128" t="s">
        <v>733</v>
      </c>
      <c r="Q21" s="122"/>
      <c r="R21" s="8"/>
      <c r="S21" s="7"/>
      <c r="T21" s="168" t="s">
        <v>733</v>
      </c>
      <c r="U21" s="122"/>
      <c r="V21" s="8"/>
      <c r="W21" s="7"/>
      <c r="X21" s="128" t="s">
        <v>733</v>
      </c>
      <c r="Y21" s="122"/>
      <c r="Z21" s="8"/>
      <c r="AA21" s="7"/>
      <c r="AB21" s="168" t="s">
        <v>733</v>
      </c>
      <c r="AC21" s="122"/>
      <c r="AD21" s="8"/>
      <c r="AE21" s="7"/>
      <c r="AF21" s="128" t="s">
        <v>733</v>
      </c>
      <c r="AG21" s="122"/>
      <c r="AH21" s="8"/>
      <c r="AI21" s="7"/>
      <c r="AJ21" s="168" t="s">
        <v>733</v>
      </c>
      <c r="AK21" s="122"/>
      <c r="AL21" s="8"/>
      <c r="AM21" s="7"/>
      <c r="AN21" s="126"/>
    </row>
    <row r="22" spans="1:45" x14ac:dyDescent="0.3">
      <c r="B22" s="122"/>
      <c r="C22" s="7"/>
      <c r="D22" s="7"/>
      <c r="E22" s="156">
        <v>0.2</v>
      </c>
      <c r="F22" s="157">
        <f>D16*E22</f>
        <v>1182190.5660000001</v>
      </c>
      <c r="G22" s="131">
        <v>0</v>
      </c>
      <c r="H22" s="132">
        <f>F22*G22</f>
        <v>0</v>
      </c>
      <c r="I22" s="122"/>
      <c r="J22" s="8"/>
      <c r="K22" s="169">
        <v>0</v>
      </c>
      <c r="L22" s="166">
        <f>J22*K22</f>
        <v>0</v>
      </c>
      <c r="M22" s="122"/>
      <c r="N22" s="8"/>
      <c r="O22" s="131">
        <v>0</v>
      </c>
      <c r="P22" s="132">
        <f>N22*O22</f>
        <v>0</v>
      </c>
      <c r="Q22" s="122"/>
      <c r="R22" s="8"/>
      <c r="S22" s="169">
        <v>0</v>
      </c>
      <c r="T22" s="166">
        <f>R22*S22</f>
        <v>0</v>
      </c>
      <c r="U22" s="122"/>
      <c r="V22" s="8"/>
      <c r="W22" s="131">
        <v>0</v>
      </c>
      <c r="X22" s="132">
        <f>V22*W22</f>
        <v>0</v>
      </c>
      <c r="Y22" s="122"/>
      <c r="Z22" s="8"/>
      <c r="AA22" s="169">
        <v>0</v>
      </c>
      <c r="AB22" s="166">
        <f>Z22*AA22</f>
        <v>0</v>
      </c>
      <c r="AC22" s="122"/>
      <c r="AD22" s="8"/>
      <c r="AE22" s="131">
        <v>0</v>
      </c>
      <c r="AF22" s="132">
        <f>AD22*AE22</f>
        <v>0</v>
      </c>
      <c r="AG22" s="122"/>
      <c r="AH22" s="8"/>
      <c r="AI22" s="178">
        <v>0</v>
      </c>
      <c r="AJ22" s="166">
        <f>AH22*AI22</f>
        <v>0</v>
      </c>
      <c r="AK22" s="122"/>
      <c r="AL22" s="8"/>
      <c r="AM22" s="7"/>
      <c r="AN22" s="126"/>
    </row>
    <row r="23" spans="1:45" x14ac:dyDescent="0.3">
      <c r="B23" s="122"/>
      <c r="C23" s="7"/>
      <c r="D23" s="7"/>
      <c r="E23" s="7"/>
      <c r="F23" s="7"/>
      <c r="G23" s="7"/>
      <c r="H23" s="8"/>
      <c r="I23" s="122"/>
      <c r="J23" s="8"/>
      <c r="K23" s="7"/>
      <c r="L23" s="8"/>
      <c r="M23" s="122"/>
      <c r="N23" s="8"/>
      <c r="O23" s="7"/>
      <c r="P23" s="8"/>
      <c r="Q23" s="122"/>
      <c r="R23" s="8"/>
      <c r="S23" s="7"/>
      <c r="T23" s="8"/>
      <c r="U23" s="122"/>
      <c r="V23" s="8"/>
      <c r="W23" s="7"/>
      <c r="X23" s="8"/>
      <c r="Y23" s="122"/>
      <c r="Z23" s="8"/>
      <c r="AA23" s="7"/>
      <c r="AB23" s="8"/>
      <c r="AC23" s="122"/>
      <c r="AD23" s="8"/>
      <c r="AE23" s="7"/>
      <c r="AF23" s="8"/>
      <c r="AG23" s="122"/>
      <c r="AH23" s="8"/>
      <c r="AI23" s="122"/>
      <c r="AJ23" s="8"/>
      <c r="AK23" s="122"/>
      <c r="AL23" s="8"/>
      <c r="AM23" s="7"/>
      <c r="AN23" s="180">
        <f>SUM(AN6:AN22)</f>
        <v>91181132.234172016</v>
      </c>
    </row>
    <row r="24" spans="1:45" x14ac:dyDescent="0.3">
      <c r="B24" s="158"/>
      <c r="C24" s="10"/>
      <c r="D24" s="10"/>
      <c r="E24" s="10"/>
      <c r="F24" s="159">
        <f>SUM(F6:F23)</f>
        <v>17816952.3585</v>
      </c>
      <c r="G24" s="160"/>
      <c r="H24" s="172">
        <f>SUM(H6:H23)</f>
        <v>14894177.579625001</v>
      </c>
      <c r="I24" s="158"/>
      <c r="J24" s="11"/>
      <c r="K24" s="160"/>
      <c r="L24" s="161">
        <f>SUM(L6:L23)</f>
        <v>12750998.948312812</v>
      </c>
      <c r="M24" s="158"/>
      <c r="N24" s="11"/>
      <c r="O24" s="160"/>
      <c r="P24" s="172">
        <f>SUM(P6:P23)</f>
        <v>10957856.580649883</v>
      </c>
      <c r="Q24" s="158"/>
      <c r="R24" s="11"/>
      <c r="S24" s="160"/>
      <c r="T24" s="161">
        <f>SUM(T6:T23)</f>
        <v>9438702.8830302376</v>
      </c>
      <c r="U24" s="158"/>
      <c r="V24" s="11"/>
      <c r="W24" s="160"/>
      <c r="X24" s="172">
        <f>SUM(X6:X23)</f>
        <v>8142251.234094901</v>
      </c>
      <c r="Y24" s="158"/>
      <c r="Z24" s="11"/>
      <c r="AA24" s="160"/>
      <c r="AB24" s="161">
        <f>SUM(AB6:AB23)</f>
        <v>7031130.8358672718</v>
      </c>
      <c r="AC24" s="158"/>
      <c r="AD24" s="11"/>
      <c r="AE24" s="160"/>
      <c r="AF24" s="172">
        <f>SUM(AF6:AF23)</f>
        <v>6076427.2166164462</v>
      </c>
      <c r="AG24" s="158"/>
      <c r="AH24" s="11"/>
      <c r="AI24" s="179"/>
      <c r="AJ24" s="161">
        <f>SUM(AJ6:AJ23)</f>
        <v>5254825.1634754678</v>
      </c>
      <c r="AK24" s="158"/>
      <c r="AL24" s="11"/>
      <c r="AM24" s="10"/>
      <c r="AN24" s="161">
        <f>F24+H24+L24+P24+T24+X24+AB24+AF24+AJ24</f>
        <v>92363322.800172016</v>
      </c>
    </row>
    <row r="25" spans="1:45" x14ac:dyDescent="0.3">
      <c r="H25" s="30"/>
      <c r="O25" s="1" t="s">
        <v>297</v>
      </c>
      <c r="P25" s="30">
        <v>5.5E-2</v>
      </c>
      <c r="W25" s="1" t="s">
        <v>297</v>
      </c>
      <c r="X25" s="30">
        <v>5.5E-2</v>
      </c>
      <c r="AN25" s="181"/>
      <c r="AP25" s="1" t="s">
        <v>723</v>
      </c>
      <c r="AQ25" s="18">
        <f>AN28</f>
        <v>5.0341549887741621</v>
      </c>
      <c r="AR25" s="1" t="s">
        <v>724</v>
      </c>
      <c r="AS25" s="1" t="s">
        <v>311</v>
      </c>
    </row>
    <row r="26" spans="1:45" x14ac:dyDescent="0.3">
      <c r="A26" s="2"/>
      <c r="H26" s="2"/>
      <c r="AL26" s="17" t="s">
        <v>306</v>
      </c>
      <c r="AM26" s="17"/>
      <c r="AN26" s="182">
        <f>D4</f>
        <v>18112500</v>
      </c>
      <c r="AP26" s="33">
        <v>4000000000</v>
      </c>
      <c r="AQ26" s="2">
        <f>AP26*AN28</f>
        <v>20136619955.096649</v>
      </c>
      <c r="AR26" s="2">
        <f>AP26</f>
        <v>4000000000</v>
      </c>
      <c r="AS26" s="2">
        <f>AQ26+AR26</f>
        <v>24136619955.096649</v>
      </c>
    </row>
    <row r="27" spans="1:45" x14ac:dyDescent="0.3">
      <c r="H27" s="2"/>
      <c r="AL27" s="1" t="s">
        <v>307</v>
      </c>
      <c r="AN27" s="183">
        <f>AN23</f>
        <v>91181132.234172016</v>
      </c>
    </row>
    <row r="28" spans="1:45" x14ac:dyDescent="0.3">
      <c r="A28" s="2"/>
      <c r="AL28" s="17" t="s">
        <v>310</v>
      </c>
      <c r="AM28" s="17"/>
      <c r="AN28" s="184">
        <f>AN27/AN26</f>
        <v>5.0341549887741621</v>
      </c>
    </row>
    <row r="29" spans="1:45" x14ac:dyDescent="0.3">
      <c r="AL29" s="1" t="s">
        <v>734</v>
      </c>
      <c r="AN29" s="183">
        <v>3000000000</v>
      </c>
      <c r="AO29" s="1" t="s">
        <v>735</v>
      </c>
    </row>
    <row r="30" spans="1:45" x14ac:dyDescent="0.3">
      <c r="AL30" s="17" t="s">
        <v>309</v>
      </c>
      <c r="AM30" s="17"/>
      <c r="AN30" s="182">
        <f>AN29*AN28</f>
        <v>15102464966.322487</v>
      </c>
    </row>
    <row r="31" spans="1:45" x14ac:dyDescent="0.3">
      <c r="AL31" s="17" t="s">
        <v>308</v>
      </c>
      <c r="AM31" s="17"/>
      <c r="AN31" s="182">
        <f>AN30</f>
        <v>15102464966.322487</v>
      </c>
    </row>
    <row r="42" spans="1:8" x14ac:dyDescent="0.3">
      <c r="A42" s="1" t="s">
        <v>295</v>
      </c>
    </row>
    <row r="43" spans="1:8" x14ac:dyDescent="0.3">
      <c r="B43" s="13"/>
      <c r="C43" s="4"/>
      <c r="D43" s="120" t="s">
        <v>275</v>
      </c>
      <c r="E43" s="4"/>
      <c r="F43" s="120" t="s">
        <v>288</v>
      </c>
      <c r="G43" s="4"/>
      <c r="H43" s="121" t="s">
        <v>289</v>
      </c>
    </row>
    <row r="44" spans="1:8" x14ac:dyDescent="0.3">
      <c r="B44" s="122"/>
      <c r="C44" s="7"/>
      <c r="D44" s="123">
        <v>8471093.75</v>
      </c>
      <c r="E44" s="7"/>
      <c r="F44" s="124" t="s">
        <v>287</v>
      </c>
      <c r="G44" s="125"/>
      <c r="H44" s="126"/>
    </row>
    <row r="45" spans="1:8" x14ac:dyDescent="0.3">
      <c r="B45" s="122"/>
      <c r="C45" s="7"/>
      <c r="D45" s="7"/>
      <c r="E45" s="127"/>
      <c r="F45" s="127" t="s">
        <v>280</v>
      </c>
      <c r="G45" s="7"/>
      <c r="H45" s="128" t="s">
        <v>282</v>
      </c>
    </row>
    <row r="46" spans="1:8" x14ac:dyDescent="0.3">
      <c r="B46" s="122"/>
      <c r="C46" s="7"/>
      <c r="D46" s="7"/>
      <c r="E46" s="129">
        <v>0.25</v>
      </c>
      <c r="F46" s="130">
        <f>D50*E46</f>
        <v>503316.47999999998</v>
      </c>
      <c r="G46" s="131">
        <v>1</v>
      </c>
      <c r="H46" s="132">
        <f>F46*G46</f>
        <v>503316.47999999998</v>
      </c>
    </row>
    <row r="47" spans="1:8" x14ac:dyDescent="0.3">
      <c r="B47" s="122"/>
      <c r="C47" s="7"/>
      <c r="D47" s="7"/>
      <c r="E47" s="133"/>
      <c r="F47" s="134" t="s">
        <v>290</v>
      </c>
      <c r="G47" s="7"/>
      <c r="H47" s="128" t="s">
        <v>283</v>
      </c>
    </row>
    <row r="48" spans="1:8" x14ac:dyDescent="0.3">
      <c r="B48" s="122"/>
      <c r="C48" s="7"/>
      <c r="D48" s="7"/>
      <c r="E48" s="133">
        <v>0.25</v>
      </c>
      <c r="F48" s="135">
        <f>D50*E48</f>
        <v>503316.47999999998</v>
      </c>
      <c r="G48" s="131">
        <v>1</v>
      </c>
      <c r="H48" s="132">
        <f>F48*G48</f>
        <v>503316.47999999998</v>
      </c>
    </row>
    <row r="49" spans="2:9" x14ac:dyDescent="0.3">
      <c r="B49" s="122"/>
      <c r="C49" s="7"/>
      <c r="D49" s="7"/>
      <c r="E49" s="136"/>
      <c r="F49" s="136" t="s">
        <v>279</v>
      </c>
      <c r="G49" s="7"/>
      <c r="H49" s="128" t="s">
        <v>284</v>
      </c>
    </row>
    <row r="50" spans="2:9" x14ac:dyDescent="0.3">
      <c r="B50" s="137" t="s">
        <v>291</v>
      </c>
      <c r="C50" s="138">
        <f>D50/D44</f>
        <v>0.23766304321682191</v>
      </c>
      <c r="D50" s="139">
        <f>D10</f>
        <v>2013265.9199999999</v>
      </c>
      <c r="E50" s="140">
        <v>0.5</v>
      </c>
      <c r="F50" s="139">
        <f>D50*E50</f>
        <v>1006632.96</v>
      </c>
      <c r="G50" s="131">
        <v>1</v>
      </c>
      <c r="H50" s="132">
        <f>F50*G50</f>
        <v>1006632.96</v>
      </c>
    </row>
    <row r="51" spans="2:9" x14ac:dyDescent="0.3">
      <c r="B51" s="141"/>
      <c r="C51" s="107"/>
      <c r="D51" s="91"/>
      <c r="E51" s="142"/>
      <c r="F51" s="91"/>
      <c r="G51" s="7"/>
      <c r="H51" s="8"/>
    </row>
    <row r="52" spans="2:9" x14ac:dyDescent="0.3">
      <c r="B52" s="141"/>
      <c r="C52" s="107"/>
      <c r="D52" s="91"/>
      <c r="E52" s="142"/>
      <c r="F52" s="143" t="s">
        <v>281</v>
      </c>
      <c r="G52" s="106"/>
      <c r="H52" s="128" t="s">
        <v>292</v>
      </c>
    </row>
    <row r="53" spans="2:9" x14ac:dyDescent="0.3">
      <c r="B53" s="144" t="s">
        <v>276</v>
      </c>
      <c r="C53" s="145">
        <f>'UCS™ TWF Ťenders'!H72</f>
        <v>2.2857142857142856</v>
      </c>
      <c r="D53" s="143">
        <f>D13</f>
        <v>10188281.25</v>
      </c>
      <c r="E53" s="146">
        <v>1</v>
      </c>
      <c r="F53" s="143">
        <f>D53*E53</f>
        <v>10188281.25</v>
      </c>
      <c r="G53" s="131">
        <v>0.65</v>
      </c>
      <c r="H53" s="132">
        <f>F53*G53</f>
        <v>6622382.8125</v>
      </c>
    </row>
    <row r="54" spans="2:9" x14ac:dyDescent="0.3">
      <c r="B54" s="147" t="s">
        <v>278</v>
      </c>
      <c r="C54" s="118"/>
      <c r="D54" s="119">
        <f>SUM(D50:D53)</f>
        <v>12201547.17</v>
      </c>
      <c r="E54" s="7"/>
      <c r="F54" s="7"/>
      <c r="G54" s="7"/>
      <c r="H54" s="8"/>
    </row>
    <row r="55" spans="2:9" x14ac:dyDescent="0.3">
      <c r="B55" s="122"/>
      <c r="C55" s="95"/>
      <c r="D55" s="87"/>
      <c r="E55" s="148"/>
      <c r="F55" s="148" t="s">
        <v>147</v>
      </c>
      <c r="G55" s="7"/>
      <c r="H55" s="128" t="s">
        <v>285</v>
      </c>
    </row>
    <row r="56" spans="2:9" x14ac:dyDescent="0.3">
      <c r="B56" s="149" t="s">
        <v>277</v>
      </c>
      <c r="C56" s="150">
        <f>D56/D44</f>
        <v>-0.44037446994374252</v>
      </c>
      <c r="D56" s="151">
        <f>D44-D54</f>
        <v>-3730453.42</v>
      </c>
      <c r="E56" s="152">
        <v>0.5</v>
      </c>
      <c r="F56" s="151">
        <f>D56*E56</f>
        <v>-1865226.71</v>
      </c>
      <c r="G56" s="131">
        <v>1</v>
      </c>
      <c r="H56" s="132">
        <f>F56*G56</f>
        <v>-1865226.71</v>
      </c>
    </row>
    <row r="57" spans="2:9" ht="16.2" thickBot="1" x14ac:dyDescent="0.35">
      <c r="B57" s="122"/>
      <c r="C57" s="94">
        <f>SUM(C50:C56)</f>
        <v>2.0830028589873653</v>
      </c>
      <c r="D57" s="7"/>
      <c r="E57" s="153"/>
      <c r="F57" s="154" t="s">
        <v>293</v>
      </c>
      <c r="G57" s="7"/>
      <c r="H57" s="128" t="s">
        <v>294</v>
      </c>
    </row>
    <row r="58" spans="2:9" x14ac:dyDescent="0.3">
      <c r="B58" s="122"/>
      <c r="C58" s="7"/>
      <c r="D58" s="7"/>
      <c r="E58" s="153">
        <v>0.4</v>
      </c>
      <c r="F58" s="99">
        <f>D56*E58</f>
        <v>-1492181.368</v>
      </c>
      <c r="G58" s="131">
        <v>1</v>
      </c>
      <c r="H58" s="132">
        <f>F58*G58</f>
        <v>-1492181.368</v>
      </c>
    </row>
    <row r="59" spans="2:9" x14ac:dyDescent="0.3">
      <c r="B59" s="122"/>
      <c r="C59" s="7"/>
      <c r="D59" s="7"/>
      <c r="E59" s="155"/>
      <c r="F59" s="155" t="s">
        <v>35</v>
      </c>
      <c r="G59" s="7"/>
      <c r="H59" s="128" t="s">
        <v>286</v>
      </c>
    </row>
    <row r="60" spans="2:9" x14ac:dyDescent="0.3">
      <c r="B60" s="122"/>
      <c r="C60" s="7"/>
      <c r="D60" s="7"/>
      <c r="E60" s="156">
        <v>0.1</v>
      </c>
      <c r="F60" s="157">
        <f>D56*E60</f>
        <v>-373045.342</v>
      </c>
      <c r="G60" s="131">
        <v>0</v>
      </c>
      <c r="H60" s="132">
        <f>F60*G60</f>
        <v>0</v>
      </c>
    </row>
    <row r="61" spans="2:9" x14ac:dyDescent="0.3">
      <c r="B61" s="122"/>
      <c r="C61" s="7"/>
      <c r="D61" s="7"/>
      <c r="E61" s="7"/>
      <c r="F61" s="7"/>
      <c r="G61" s="7"/>
      <c r="H61" s="8"/>
      <c r="I61" s="1" t="s">
        <v>296</v>
      </c>
    </row>
    <row r="62" spans="2:9" x14ac:dyDescent="0.3">
      <c r="B62" s="158"/>
      <c r="C62" s="10"/>
      <c r="D62" s="10"/>
      <c r="E62" s="10"/>
      <c r="F62" s="159">
        <f>SUM(F46:F61)</f>
        <v>8471093.75</v>
      </c>
      <c r="G62" s="160"/>
      <c r="H62" s="161">
        <f>SUM(H46:H61)</f>
        <v>5278240.6545000002</v>
      </c>
      <c r="I62" s="30">
        <v>5.5E-2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48B0C-D7F6-4AC2-9DF3-C3F8302EB735}">
  <dimension ref="A1:BZ217"/>
  <sheetViews>
    <sheetView topLeftCell="AB196" workbookViewId="0">
      <selection activeCell="AI211" sqref="AI211"/>
    </sheetView>
  </sheetViews>
  <sheetFormatPr defaultRowHeight="15.6" x14ac:dyDescent="0.3"/>
  <cols>
    <col min="1" max="1" width="8.88671875" style="690"/>
    <col min="2" max="2" width="9.88671875" style="691" bestFit="1" customWidth="1"/>
    <col min="3" max="3" width="9.77734375" style="690" customWidth="1"/>
    <col min="4" max="4" width="22.6640625" style="690" bestFit="1" customWidth="1"/>
    <col min="5" max="5" width="7.33203125" style="1010" customWidth="1"/>
    <col min="6" max="6" width="48.5546875" style="690" customWidth="1"/>
    <col min="7" max="7" width="9.44140625" style="947" bestFit="1" customWidth="1"/>
    <col min="8" max="8" width="25.5546875" style="690" bestFit="1" customWidth="1"/>
    <col min="9" max="9" width="8.33203125" style="938" customWidth="1"/>
    <col min="10" max="10" width="22.33203125" style="41" bestFit="1" customWidth="1"/>
    <col min="11" max="11" width="12.21875" style="938" bestFit="1" customWidth="1"/>
    <col min="12" max="12" width="57.44140625" style="692" customWidth="1"/>
    <col min="13" max="13" width="5.77734375" style="1059" customWidth="1"/>
    <col min="14" max="14" width="14.77734375" style="32" bestFit="1" customWidth="1"/>
    <col min="15" max="15" width="18.6640625" style="690" bestFit="1" customWidth="1"/>
    <col min="16" max="16" width="8.33203125" style="690" bestFit="1" customWidth="1"/>
    <col min="17" max="17" width="12.109375" style="41" bestFit="1" customWidth="1"/>
    <col min="18" max="18" width="7.88671875" style="32" bestFit="1" customWidth="1"/>
    <col min="19" max="19" width="24.109375" style="690" bestFit="1" customWidth="1"/>
    <col min="20" max="20" width="28.109375" style="693" bestFit="1" customWidth="1"/>
    <col min="21" max="21" width="7.21875" style="32" bestFit="1" customWidth="1"/>
    <col min="22" max="22" width="18.6640625" style="690" bestFit="1" customWidth="1"/>
    <col min="23" max="23" width="9.77734375" style="80" bestFit="1" customWidth="1"/>
    <col min="24" max="24" width="3.33203125" style="690" bestFit="1" customWidth="1"/>
    <col min="25" max="25" width="42.88671875" style="690" bestFit="1" customWidth="1"/>
    <col min="26" max="26" width="8.44140625" style="947" bestFit="1" customWidth="1"/>
    <col min="27" max="27" width="24.33203125" style="864" bestFit="1" customWidth="1"/>
    <col min="28" max="28" width="5.88671875" style="695" bestFit="1" customWidth="1"/>
    <col min="29" max="29" width="17.5546875" style="695" bestFit="1" customWidth="1"/>
    <col min="30" max="30" width="16.33203125" style="695" bestFit="1" customWidth="1"/>
    <col min="31" max="32" width="17.5546875" style="695" bestFit="1" customWidth="1"/>
    <col min="33" max="33" width="16.33203125" style="695" bestFit="1" customWidth="1"/>
    <col min="34" max="34" width="17.5546875" style="695" bestFit="1" customWidth="1"/>
    <col min="35" max="35" width="18.6640625" style="690" bestFit="1" customWidth="1"/>
    <col min="36" max="36" width="24.21875" style="865" bestFit="1" customWidth="1"/>
    <col min="37" max="37" width="24.21875" style="698" customWidth="1"/>
    <col min="38" max="38" width="27.5546875" style="690" bestFit="1" customWidth="1"/>
    <col min="39" max="39" width="18.21875" style="690" customWidth="1"/>
    <col min="40" max="40" width="18.77734375" style="690" customWidth="1"/>
    <col min="41" max="41" width="19.109375" style="690" customWidth="1"/>
    <col min="42" max="45" width="9" style="690" bestFit="1" customWidth="1"/>
    <col min="46" max="46" width="9" style="699" bestFit="1" customWidth="1"/>
    <col min="47" max="53" width="9" style="690" bestFit="1" customWidth="1"/>
    <col min="54" max="54" width="9" style="699" bestFit="1" customWidth="1"/>
    <col min="55" max="61" width="9" style="690" bestFit="1" customWidth="1"/>
    <col min="62" max="62" width="9" style="699" bestFit="1" customWidth="1"/>
    <col min="63" max="69" width="9" style="690" bestFit="1" customWidth="1"/>
    <col min="70" max="70" width="8.88671875" style="691"/>
    <col min="71" max="75" width="8.88671875" style="690"/>
    <col min="76" max="76" width="14.21875" style="690" customWidth="1"/>
    <col min="77" max="77" width="15.88671875" style="690" customWidth="1"/>
    <col min="78" max="78" width="6" style="700" customWidth="1"/>
    <col min="79" max="16384" width="8.88671875" style="690"/>
  </cols>
  <sheetData>
    <row r="1" spans="1:78" x14ac:dyDescent="0.3">
      <c r="M1" s="1050"/>
      <c r="AA1" s="694"/>
      <c r="AI1" s="696"/>
      <c r="AJ1" s="697"/>
    </row>
    <row r="2" spans="1:78" s="703" customFormat="1" ht="25.2" x14ac:dyDescent="0.6">
      <c r="A2" s="701"/>
      <c r="B2" s="702" t="s">
        <v>1026</v>
      </c>
      <c r="E2" s="1011"/>
      <c r="F2" s="705" t="s">
        <v>1027</v>
      </c>
      <c r="G2" s="1027"/>
      <c r="H2" s="707" t="s">
        <v>1028</v>
      </c>
      <c r="I2" s="1037"/>
      <c r="J2" s="708"/>
      <c r="K2" s="1060"/>
      <c r="L2" s="710" t="s">
        <v>1029</v>
      </c>
      <c r="M2" s="1051"/>
      <c r="N2" s="1169" t="s">
        <v>1030</v>
      </c>
      <c r="Q2" s="708"/>
      <c r="R2" s="713"/>
      <c r="T2" s="714"/>
      <c r="U2" s="713"/>
      <c r="W2" s="715"/>
      <c r="Z2" s="1027"/>
      <c r="AA2" s="716"/>
      <c r="AB2" s="717"/>
      <c r="AC2" s="718"/>
      <c r="AD2" s="718"/>
      <c r="AE2" s="718"/>
      <c r="AF2" s="718"/>
      <c r="AG2" s="718"/>
      <c r="AH2" s="718"/>
      <c r="AJ2" s="719"/>
      <c r="AT2" s="720"/>
      <c r="BB2" s="720"/>
      <c r="BJ2" s="720"/>
      <c r="BZ2" s="721"/>
    </row>
    <row r="3" spans="1:78" x14ac:dyDescent="0.3">
      <c r="B3" s="722"/>
      <c r="C3" s="723"/>
      <c r="D3" s="723"/>
      <c r="L3" s="724"/>
      <c r="M3" s="1052"/>
      <c r="AA3" s="725"/>
      <c r="AI3" s="726"/>
      <c r="AJ3" s="727"/>
    </row>
    <row r="4" spans="1:78" x14ac:dyDescent="0.3">
      <c r="B4" s="728">
        <v>1</v>
      </c>
      <c r="C4" s="729"/>
      <c r="D4" s="730" t="s">
        <v>1031</v>
      </c>
      <c r="E4" s="1011"/>
      <c r="F4" s="731" t="s">
        <v>1032</v>
      </c>
      <c r="G4" s="1027"/>
      <c r="H4" s="703" t="s">
        <v>1033</v>
      </c>
      <c r="I4" s="1037"/>
      <c r="J4" s="709" t="s">
        <v>763</v>
      </c>
      <c r="L4" s="724"/>
      <c r="M4" s="1052"/>
      <c r="AA4" s="725"/>
      <c r="AI4" s="726"/>
      <c r="AJ4" s="727"/>
    </row>
    <row r="5" spans="1:78" x14ac:dyDescent="0.3">
      <c r="B5" s="728">
        <v>0.5</v>
      </c>
      <c r="C5" s="723"/>
      <c r="D5" s="732">
        <f>'POP Dimensions'!L17</f>
        <v>2748779069.4400001</v>
      </c>
      <c r="E5" s="1012"/>
      <c r="F5" s="32">
        <v>0.25</v>
      </c>
      <c r="G5" s="1015"/>
      <c r="H5" s="732">
        <f>D5*F5</f>
        <v>687194767.36000001</v>
      </c>
      <c r="I5" s="989"/>
      <c r="J5" s="735">
        <f>'[1]POP Dimensions'!H15</f>
        <v>10737418.24</v>
      </c>
      <c r="L5" s="724"/>
      <c r="M5" s="1052"/>
      <c r="AA5" s="725"/>
      <c r="AI5" s="726"/>
      <c r="AJ5" s="727"/>
    </row>
    <row r="6" spans="1:78" x14ac:dyDescent="0.3">
      <c r="B6" s="736">
        <v>0.25</v>
      </c>
      <c r="C6" s="723"/>
      <c r="D6" s="737">
        <v>128</v>
      </c>
      <c r="E6" s="1013" t="s">
        <v>1034</v>
      </c>
      <c r="F6" s="738"/>
      <c r="G6" s="1015"/>
      <c r="H6" s="732"/>
      <c r="I6" s="989"/>
      <c r="J6" s="41">
        <f>H5/J5*2</f>
        <v>128</v>
      </c>
      <c r="L6" s="724"/>
      <c r="M6" s="1052"/>
      <c r="AA6" s="725"/>
      <c r="AI6" s="726"/>
      <c r="AJ6" s="727"/>
    </row>
    <row r="7" spans="1:78" x14ac:dyDescent="0.3">
      <c r="B7" s="722">
        <f>B6/2</f>
        <v>0.125</v>
      </c>
      <c r="C7" s="739"/>
      <c r="D7" s="740" t="s">
        <v>1035</v>
      </c>
      <c r="E7" s="1014" t="s">
        <v>1036</v>
      </c>
      <c r="F7" s="741" t="s">
        <v>1037</v>
      </c>
      <c r="G7" s="1014" t="s">
        <v>1038</v>
      </c>
      <c r="H7" s="741" t="s">
        <v>1039</v>
      </c>
      <c r="I7" s="1038"/>
      <c r="J7" s="742" t="s">
        <v>1040</v>
      </c>
      <c r="K7" s="1061"/>
      <c r="L7" s="724"/>
      <c r="M7" s="1052"/>
      <c r="AA7" s="725"/>
      <c r="AI7" s="726"/>
      <c r="AJ7" s="727"/>
    </row>
    <row r="8" spans="1:78" x14ac:dyDescent="0.3">
      <c r="B8" s="736">
        <v>6.25E-2</v>
      </c>
      <c r="C8" s="743"/>
      <c r="D8" s="723"/>
      <c r="E8" s="1015" t="s">
        <v>1041</v>
      </c>
      <c r="F8" s="744" t="s">
        <v>1042</v>
      </c>
      <c r="G8" s="1015"/>
      <c r="H8" s="744"/>
      <c r="I8" s="989"/>
      <c r="J8" s="734"/>
      <c r="K8" s="1062"/>
      <c r="L8" s="746"/>
      <c r="M8" s="1052"/>
      <c r="AA8" s="725"/>
      <c r="AI8" s="726"/>
      <c r="AJ8" s="727"/>
    </row>
    <row r="9" spans="1:78" x14ac:dyDescent="0.3">
      <c r="B9" s="736"/>
      <c r="C9" s="743"/>
      <c r="D9" s="723"/>
      <c r="E9" s="1015" t="s">
        <v>1043</v>
      </c>
      <c r="F9" s="744" t="s">
        <v>1044</v>
      </c>
      <c r="G9" s="1015"/>
      <c r="H9" s="744"/>
      <c r="I9" s="989"/>
      <c r="J9" s="734"/>
      <c r="K9" s="1062"/>
      <c r="L9" s="746"/>
      <c r="M9" s="1052"/>
      <c r="AA9" s="725"/>
      <c r="AI9" s="726"/>
      <c r="AJ9" s="727"/>
    </row>
    <row r="10" spans="1:78" x14ac:dyDescent="0.3">
      <c r="B10" s="722">
        <f>B8/2</f>
        <v>3.125E-2</v>
      </c>
      <c r="D10" s="723">
        <f>D5/D6</f>
        <v>21474836.48</v>
      </c>
      <c r="E10" s="1016">
        <v>1</v>
      </c>
      <c r="F10" s="747" t="s">
        <v>1045</v>
      </c>
      <c r="G10" s="1028">
        <v>20</v>
      </c>
      <c r="H10" s="732">
        <f>D13*G10</f>
        <v>429496729.60000002</v>
      </c>
      <c r="I10" s="989">
        <v>80</v>
      </c>
      <c r="J10" s="41">
        <f t="shared" ref="J10:J25" si="0">G10*I10</f>
        <v>1600</v>
      </c>
      <c r="L10" s="724"/>
      <c r="M10" s="1052"/>
      <c r="AA10" s="725"/>
      <c r="AI10" s="726"/>
      <c r="AJ10" s="727"/>
    </row>
    <row r="11" spans="1:78" x14ac:dyDescent="0.3">
      <c r="B11" s="736">
        <f>B10/2</f>
        <v>1.5625E-2</v>
      </c>
      <c r="C11" s="748"/>
      <c r="D11" s="723">
        <f>D10</f>
        <v>21474836.48</v>
      </c>
      <c r="E11" s="1016">
        <v>2</v>
      </c>
      <c r="F11" s="747" t="s">
        <v>1046</v>
      </c>
      <c r="G11" s="1028">
        <v>8</v>
      </c>
      <c r="H11" s="732">
        <f>D14*G11</f>
        <v>171798691.84</v>
      </c>
      <c r="I11" s="989">
        <v>80</v>
      </c>
      <c r="J11" s="41">
        <f t="shared" si="0"/>
        <v>640</v>
      </c>
      <c r="L11" s="724"/>
      <c r="M11" s="1052"/>
      <c r="AA11" s="725"/>
      <c r="AI11" s="726"/>
      <c r="AJ11" s="727"/>
    </row>
    <row r="12" spans="1:78" x14ac:dyDescent="0.3">
      <c r="B12" s="736">
        <f>B11/2</f>
        <v>7.8125E-3</v>
      </c>
      <c r="C12" s="723"/>
      <c r="D12" s="723">
        <f t="shared" ref="D12:D17" si="1">D11</f>
        <v>21474836.48</v>
      </c>
      <c r="E12" s="1016">
        <v>3</v>
      </c>
      <c r="F12" s="747" t="s">
        <v>1047</v>
      </c>
      <c r="G12" s="1028">
        <v>4</v>
      </c>
      <c r="H12" s="732">
        <f>D15*G12</f>
        <v>85899345.920000002</v>
      </c>
      <c r="I12" s="989">
        <v>80</v>
      </c>
      <c r="J12" s="41">
        <f t="shared" si="0"/>
        <v>320</v>
      </c>
      <c r="L12" s="724"/>
      <c r="M12" s="1052"/>
      <c r="AA12" s="725"/>
      <c r="AI12" s="726"/>
      <c r="AJ12" s="727"/>
    </row>
    <row r="13" spans="1:78" x14ac:dyDescent="0.3">
      <c r="D13" s="723">
        <f t="shared" si="1"/>
        <v>21474836.48</v>
      </c>
      <c r="E13" s="1016">
        <v>4</v>
      </c>
      <c r="F13" s="747" t="s">
        <v>1048</v>
      </c>
      <c r="G13" s="1028">
        <v>16</v>
      </c>
      <c r="H13" s="732">
        <f>D22*G13</f>
        <v>343597383.68000001</v>
      </c>
      <c r="I13" s="989">
        <v>80</v>
      </c>
      <c r="J13" s="41">
        <f t="shared" si="0"/>
        <v>1280</v>
      </c>
      <c r="L13" s="724"/>
      <c r="M13" s="1052"/>
      <c r="AA13" s="725"/>
      <c r="AI13" s="726"/>
      <c r="AJ13" s="727"/>
    </row>
    <row r="14" spans="1:78" x14ac:dyDescent="0.3">
      <c r="C14" s="723"/>
      <c r="D14" s="723">
        <f t="shared" si="1"/>
        <v>21474836.48</v>
      </c>
      <c r="E14" s="1016">
        <v>5</v>
      </c>
      <c r="F14" s="749" t="s">
        <v>1049</v>
      </c>
      <c r="G14" s="1028">
        <v>4</v>
      </c>
      <c r="H14" s="732">
        <f>D19*G14</f>
        <v>85899345.920000002</v>
      </c>
      <c r="I14" s="989">
        <v>80</v>
      </c>
      <c r="J14" s="41">
        <f t="shared" si="0"/>
        <v>320</v>
      </c>
      <c r="L14" s="724"/>
      <c r="M14" s="1052"/>
      <c r="AA14" s="725"/>
      <c r="AI14" s="726"/>
      <c r="AJ14" s="727"/>
    </row>
    <row r="15" spans="1:78" x14ac:dyDescent="0.3">
      <c r="B15" s="736"/>
      <c r="C15" s="748"/>
      <c r="D15" s="723">
        <f>D14</f>
        <v>21474836.48</v>
      </c>
      <c r="E15" s="1016">
        <v>6</v>
      </c>
      <c r="F15" s="747" t="s">
        <v>1050</v>
      </c>
      <c r="G15" s="1028">
        <v>7</v>
      </c>
      <c r="H15" s="732">
        <f>D18*G15</f>
        <v>150323855.36000001</v>
      </c>
      <c r="I15" s="989">
        <v>80</v>
      </c>
      <c r="J15" s="41">
        <f t="shared" si="0"/>
        <v>560</v>
      </c>
      <c r="L15" s="724"/>
      <c r="M15" s="1052"/>
      <c r="AA15" s="725"/>
      <c r="AI15" s="726"/>
      <c r="AJ15" s="727"/>
    </row>
    <row r="16" spans="1:78" x14ac:dyDescent="0.3">
      <c r="B16" s="736"/>
      <c r="C16" s="748"/>
      <c r="D16" s="723">
        <f t="shared" si="1"/>
        <v>21474836.48</v>
      </c>
      <c r="E16" s="1016">
        <v>7</v>
      </c>
      <c r="F16" s="749" t="s">
        <v>1051</v>
      </c>
      <c r="G16" s="1028">
        <v>5</v>
      </c>
      <c r="H16" s="732">
        <f>D19*G16</f>
        <v>107374182.40000001</v>
      </c>
      <c r="I16" s="989">
        <v>80</v>
      </c>
      <c r="J16" s="41">
        <f t="shared" si="0"/>
        <v>400</v>
      </c>
      <c r="L16" s="724"/>
      <c r="M16" s="1052"/>
      <c r="AA16" s="725"/>
      <c r="AI16" s="726"/>
      <c r="AJ16" s="727"/>
    </row>
    <row r="17" spans="3:36" x14ac:dyDescent="0.3">
      <c r="C17" s="695"/>
      <c r="D17" s="723">
        <f t="shared" si="1"/>
        <v>21474836.48</v>
      </c>
      <c r="E17" s="1016">
        <v>8</v>
      </c>
      <c r="F17" s="749" t="s">
        <v>1052</v>
      </c>
      <c r="G17" s="1028">
        <v>4</v>
      </c>
      <c r="H17" s="732">
        <f>D20*G17</f>
        <v>85899345.920000002</v>
      </c>
      <c r="I17" s="989">
        <v>80</v>
      </c>
      <c r="J17" s="41">
        <f t="shared" si="0"/>
        <v>320</v>
      </c>
      <c r="L17" s="724"/>
      <c r="M17" s="1052"/>
      <c r="AA17" s="725"/>
      <c r="AI17" s="726"/>
      <c r="AJ17" s="727"/>
    </row>
    <row r="18" spans="3:36" x14ac:dyDescent="0.3">
      <c r="D18" s="723">
        <f>D17</f>
        <v>21474836.48</v>
      </c>
      <c r="E18" s="1016">
        <f>E17+1</f>
        <v>9</v>
      </c>
      <c r="F18" s="747" t="s">
        <v>1053</v>
      </c>
      <c r="G18" s="1028">
        <v>3</v>
      </c>
      <c r="H18" s="732">
        <f>D12*G18</f>
        <v>64424509.439999998</v>
      </c>
      <c r="I18" s="989">
        <v>80</v>
      </c>
      <c r="J18" s="41">
        <f t="shared" si="0"/>
        <v>240</v>
      </c>
      <c r="L18" s="724"/>
      <c r="M18" s="1052"/>
      <c r="AA18" s="725"/>
      <c r="AI18" s="726"/>
      <c r="AJ18" s="727"/>
    </row>
    <row r="19" spans="3:36" x14ac:dyDescent="0.3">
      <c r="D19" s="723">
        <f>D18</f>
        <v>21474836.48</v>
      </c>
      <c r="E19" s="1016">
        <f>E18+1</f>
        <v>10</v>
      </c>
      <c r="F19" s="747" t="s">
        <v>1054</v>
      </c>
      <c r="G19" s="1028">
        <v>11</v>
      </c>
      <c r="H19" s="732">
        <f>D19*G19</f>
        <v>236223201.28</v>
      </c>
      <c r="I19" s="989">
        <v>80</v>
      </c>
      <c r="J19" s="41">
        <f t="shared" si="0"/>
        <v>880</v>
      </c>
      <c r="L19" s="724"/>
      <c r="M19" s="1052"/>
      <c r="AA19" s="725"/>
      <c r="AI19" s="726"/>
      <c r="AJ19" s="727"/>
    </row>
    <row r="20" spans="3:36" x14ac:dyDescent="0.3">
      <c r="D20" s="723">
        <f>D19</f>
        <v>21474836.48</v>
      </c>
      <c r="E20" s="1016">
        <f>E19+1</f>
        <v>11</v>
      </c>
      <c r="F20" s="749" t="s">
        <v>1055</v>
      </c>
      <c r="G20" s="1028">
        <v>6</v>
      </c>
      <c r="H20" s="732">
        <f>D17*G20</f>
        <v>128849018.88</v>
      </c>
      <c r="I20" s="989">
        <v>80</v>
      </c>
      <c r="J20" s="41">
        <f t="shared" si="0"/>
        <v>480</v>
      </c>
      <c r="L20" s="724"/>
      <c r="M20" s="1052"/>
      <c r="AA20" s="725"/>
      <c r="AI20" s="726"/>
      <c r="AJ20" s="727"/>
    </row>
    <row r="21" spans="3:36" x14ac:dyDescent="0.3">
      <c r="D21" s="723">
        <f t="shared" ref="D21:D24" si="2">D20</f>
        <v>21474836.48</v>
      </c>
      <c r="E21" s="1016">
        <f t="shared" ref="E21:E24" si="3">E20+1</f>
        <v>12</v>
      </c>
      <c r="F21" s="747" t="s">
        <v>1056</v>
      </c>
      <c r="G21" s="1028">
        <v>6</v>
      </c>
      <c r="H21" s="732">
        <f>D25*G21</f>
        <v>128849018.88</v>
      </c>
      <c r="I21" s="989">
        <v>80</v>
      </c>
      <c r="J21" s="41">
        <f t="shared" si="0"/>
        <v>480</v>
      </c>
      <c r="L21" s="724"/>
      <c r="M21" s="1052"/>
      <c r="AA21" s="725"/>
      <c r="AI21" s="726"/>
      <c r="AJ21" s="727"/>
    </row>
    <row r="22" spans="3:36" x14ac:dyDescent="0.3">
      <c r="D22" s="723">
        <f t="shared" si="2"/>
        <v>21474836.48</v>
      </c>
      <c r="E22" s="1016">
        <f t="shared" si="3"/>
        <v>13</v>
      </c>
      <c r="F22" s="747" t="s">
        <v>1057</v>
      </c>
      <c r="G22" s="1028">
        <v>6</v>
      </c>
      <c r="H22" s="732">
        <f>D23*G22</f>
        <v>128849018.88</v>
      </c>
      <c r="I22" s="989">
        <v>80</v>
      </c>
      <c r="J22" s="41">
        <f t="shared" si="0"/>
        <v>480</v>
      </c>
      <c r="L22" s="724"/>
      <c r="M22" s="1052"/>
      <c r="AA22" s="725"/>
      <c r="AI22" s="726"/>
      <c r="AJ22" s="727"/>
    </row>
    <row r="23" spans="3:36" x14ac:dyDescent="0.3">
      <c r="D23" s="723">
        <f t="shared" si="2"/>
        <v>21474836.48</v>
      </c>
      <c r="E23" s="1016">
        <f t="shared" si="3"/>
        <v>14</v>
      </c>
      <c r="F23" s="749" t="s">
        <v>1058</v>
      </c>
      <c r="G23" s="1028">
        <v>4</v>
      </c>
      <c r="H23" s="732">
        <f>D15*G23</f>
        <v>85899345.920000002</v>
      </c>
      <c r="I23" s="989">
        <v>80</v>
      </c>
      <c r="J23" s="41">
        <f t="shared" si="0"/>
        <v>320</v>
      </c>
      <c r="L23" s="724"/>
      <c r="M23" s="1052"/>
      <c r="AA23" s="725"/>
      <c r="AI23" s="726"/>
      <c r="AJ23" s="727"/>
    </row>
    <row r="24" spans="3:36" x14ac:dyDescent="0.3">
      <c r="D24" s="723">
        <f t="shared" si="2"/>
        <v>21474836.48</v>
      </c>
      <c r="E24" s="1016">
        <f t="shared" si="3"/>
        <v>15</v>
      </c>
      <c r="F24" s="747" t="s">
        <v>1059</v>
      </c>
      <c r="G24" s="1028">
        <v>8</v>
      </c>
      <c r="H24" s="732">
        <f>D24*G24</f>
        <v>171798691.84</v>
      </c>
      <c r="I24" s="989">
        <v>80</v>
      </c>
      <c r="J24" s="41">
        <f t="shared" si="0"/>
        <v>640</v>
      </c>
      <c r="L24" s="724"/>
      <c r="M24" s="1052"/>
      <c r="AA24" s="725"/>
      <c r="AI24" s="726"/>
      <c r="AJ24" s="727"/>
    </row>
    <row r="25" spans="3:36" x14ac:dyDescent="0.3">
      <c r="D25" s="732">
        <f>D24</f>
        <v>21474836.48</v>
      </c>
      <c r="E25" s="1016">
        <f>E24+1</f>
        <v>16</v>
      </c>
      <c r="F25" s="747" t="s">
        <v>1060</v>
      </c>
      <c r="G25" s="1028">
        <v>16</v>
      </c>
      <c r="H25" s="732">
        <f>D25*G25</f>
        <v>343597383.68000001</v>
      </c>
      <c r="I25" s="989">
        <v>80</v>
      </c>
      <c r="J25" s="41">
        <f t="shared" si="0"/>
        <v>1280</v>
      </c>
      <c r="L25" s="724"/>
      <c r="M25" s="1052"/>
      <c r="AA25" s="725"/>
      <c r="AI25" s="726"/>
      <c r="AJ25" s="727"/>
    </row>
    <row r="26" spans="3:36" x14ac:dyDescent="0.3">
      <c r="C26" s="750"/>
      <c r="D26" s="751"/>
      <c r="E26" s="1017"/>
      <c r="F26" s="752" t="s">
        <v>1061</v>
      </c>
      <c r="G26" s="1029">
        <f>SUM(G6:G25)</f>
        <v>128</v>
      </c>
      <c r="H26" s="751">
        <f>SUM(H6:H25)</f>
        <v>2748779069.4400005</v>
      </c>
      <c r="I26" s="1039"/>
      <c r="J26" s="753"/>
      <c r="K26" s="1063">
        <f>SUM(J10:J25)</f>
        <v>10240</v>
      </c>
      <c r="L26" s="724"/>
      <c r="M26" s="1052"/>
      <c r="AA26" s="725"/>
      <c r="AI26" s="726"/>
      <c r="AJ26" s="727"/>
    </row>
    <row r="27" spans="3:36" x14ac:dyDescent="0.3">
      <c r="F27" s="754" t="s">
        <v>1062</v>
      </c>
      <c r="G27" s="1030">
        <v>128</v>
      </c>
      <c r="K27" s="938">
        <v>4</v>
      </c>
      <c r="L27" s="724"/>
      <c r="M27" s="1052"/>
      <c r="AA27" s="725"/>
      <c r="AI27" s="726"/>
      <c r="AJ27" s="727"/>
    </row>
    <row r="28" spans="3:36" x14ac:dyDescent="0.3">
      <c r="G28" s="1031"/>
      <c r="H28" s="750" t="s">
        <v>1063</v>
      </c>
      <c r="I28" s="1039"/>
      <c r="J28" s="753"/>
      <c r="K28" s="1039">
        <f>+K43+K55</f>
        <v>1920</v>
      </c>
      <c r="L28" s="724"/>
      <c r="M28" s="1052"/>
      <c r="AA28" s="725"/>
      <c r="AI28" s="726"/>
      <c r="AJ28" s="727"/>
    </row>
    <row r="29" spans="3:36" x14ac:dyDescent="0.3">
      <c r="L29" s="724"/>
      <c r="M29" s="1052"/>
      <c r="AA29" s="725"/>
      <c r="AI29" s="726"/>
      <c r="AJ29" s="727"/>
    </row>
    <row r="30" spans="3:36" x14ac:dyDescent="0.3">
      <c r="C30" s="691"/>
      <c r="D30" s="691" t="s">
        <v>1064</v>
      </c>
      <c r="L30" s="724"/>
      <c r="M30" s="1052"/>
      <c r="AA30" s="725"/>
      <c r="AI30" s="726"/>
      <c r="AJ30" s="727"/>
    </row>
    <row r="31" spans="3:36" x14ac:dyDescent="0.3">
      <c r="D31" s="690">
        <f>D111/2</f>
        <v>1374389534.72</v>
      </c>
      <c r="F31" s="690" t="s">
        <v>1065</v>
      </c>
      <c r="L31" s="724"/>
      <c r="M31" s="1052"/>
      <c r="AA31" s="725"/>
      <c r="AI31" s="726"/>
      <c r="AJ31" s="727"/>
    </row>
    <row r="32" spans="3:36" x14ac:dyDescent="0.3">
      <c r="D32" s="755">
        <v>64</v>
      </c>
      <c r="E32" s="1013" t="s">
        <v>1066</v>
      </c>
      <c r="F32" s="738"/>
      <c r="L32" s="724"/>
      <c r="M32" s="1052"/>
      <c r="AA32" s="725"/>
      <c r="AI32" s="726"/>
      <c r="AJ32" s="727"/>
    </row>
    <row r="33" spans="3:36" x14ac:dyDescent="0.3">
      <c r="D33" s="690">
        <f>D31/D32</f>
        <v>21474836.48</v>
      </c>
      <c r="E33" s="1018">
        <v>17</v>
      </c>
      <c r="F33" s="749" t="s">
        <v>1067</v>
      </c>
      <c r="G33" s="1032">
        <v>6</v>
      </c>
      <c r="H33" s="690">
        <f>D33*G33</f>
        <v>128849018.88</v>
      </c>
      <c r="I33" s="989">
        <v>80</v>
      </c>
      <c r="J33" s="41">
        <f t="shared" ref="J33:J40" si="4">G33*I33</f>
        <v>480</v>
      </c>
      <c r="L33" s="724"/>
      <c r="M33" s="1052"/>
      <c r="AA33" s="725"/>
      <c r="AI33" s="726"/>
      <c r="AJ33" s="727"/>
    </row>
    <row r="34" spans="3:36" x14ac:dyDescent="0.3">
      <c r="D34" s="690">
        <f>D33</f>
        <v>21474836.48</v>
      </c>
      <c r="E34" s="1018">
        <f>E33+1</f>
        <v>18</v>
      </c>
      <c r="F34" s="749" t="s">
        <v>1068</v>
      </c>
      <c r="G34" s="1032">
        <v>16</v>
      </c>
      <c r="H34" s="690">
        <f t="shared" ref="H34:H40" si="5">D34*G34</f>
        <v>343597383.68000001</v>
      </c>
      <c r="I34" s="989">
        <v>80</v>
      </c>
      <c r="J34" s="41">
        <f t="shared" si="4"/>
        <v>1280</v>
      </c>
      <c r="L34" s="724"/>
      <c r="M34" s="1052"/>
      <c r="AA34" s="725"/>
      <c r="AI34" s="726"/>
      <c r="AJ34" s="727"/>
    </row>
    <row r="35" spans="3:36" x14ac:dyDescent="0.3">
      <c r="D35" s="690">
        <f t="shared" ref="D35:D40" si="6">D34</f>
        <v>21474836.48</v>
      </c>
      <c r="E35" s="1018">
        <f t="shared" ref="E35:E40" si="7">E34+1</f>
        <v>19</v>
      </c>
      <c r="F35" s="749" t="s">
        <v>1069</v>
      </c>
      <c r="G35" s="1032">
        <v>8</v>
      </c>
      <c r="H35" s="690">
        <f t="shared" si="5"/>
        <v>171798691.84</v>
      </c>
      <c r="I35" s="989">
        <v>80</v>
      </c>
      <c r="J35" s="41">
        <f t="shared" si="4"/>
        <v>640</v>
      </c>
      <c r="L35" s="724"/>
      <c r="M35" s="1052"/>
      <c r="AA35" s="725"/>
      <c r="AI35" s="726"/>
      <c r="AJ35" s="727"/>
    </row>
    <row r="36" spans="3:36" x14ac:dyDescent="0.3">
      <c r="D36" s="690">
        <f t="shared" si="6"/>
        <v>21474836.48</v>
      </c>
      <c r="E36" s="1018">
        <f t="shared" si="7"/>
        <v>20</v>
      </c>
      <c r="F36" s="747" t="s">
        <v>1070</v>
      </c>
      <c r="G36" s="1032">
        <v>16</v>
      </c>
      <c r="H36" s="690">
        <f t="shared" si="5"/>
        <v>343597383.68000001</v>
      </c>
      <c r="I36" s="989">
        <v>80</v>
      </c>
      <c r="J36" s="41">
        <f t="shared" si="4"/>
        <v>1280</v>
      </c>
      <c r="L36" s="724"/>
      <c r="M36" s="1052"/>
      <c r="AA36" s="725"/>
      <c r="AI36" s="726"/>
      <c r="AJ36" s="727"/>
    </row>
    <row r="37" spans="3:36" x14ac:dyDescent="0.3">
      <c r="D37" s="690">
        <f t="shared" si="6"/>
        <v>21474836.48</v>
      </c>
      <c r="E37" s="1018">
        <f t="shared" si="7"/>
        <v>21</v>
      </c>
      <c r="F37" s="749" t="s">
        <v>1071</v>
      </c>
      <c r="G37" s="1032">
        <v>3</v>
      </c>
      <c r="H37" s="690">
        <f t="shared" si="5"/>
        <v>64424509.439999998</v>
      </c>
      <c r="I37" s="989">
        <v>80</v>
      </c>
      <c r="J37" s="41">
        <f t="shared" si="4"/>
        <v>240</v>
      </c>
      <c r="L37" s="724"/>
      <c r="M37" s="1052"/>
      <c r="AA37" s="725"/>
      <c r="AI37" s="726"/>
      <c r="AJ37" s="727"/>
    </row>
    <row r="38" spans="3:36" x14ac:dyDescent="0.3">
      <c r="D38" s="690">
        <f t="shared" si="6"/>
        <v>21474836.48</v>
      </c>
      <c r="E38" s="1018">
        <f t="shared" si="7"/>
        <v>22</v>
      </c>
      <c r="F38" s="749" t="s">
        <v>1072</v>
      </c>
      <c r="G38" s="1032">
        <v>5</v>
      </c>
      <c r="H38" s="690">
        <f t="shared" si="5"/>
        <v>107374182.40000001</v>
      </c>
      <c r="I38" s="989">
        <v>80</v>
      </c>
      <c r="J38" s="41">
        <f t="shared" si="4"/>
        <v>400</v>
      </c>
      <c r="L38" s="724"/>
      <c r="M38" s="1052"/>
      <c r="AA38" s="725"/>
      <c r="AI38" s="726"/>
      <c r="AJ38" s="727"/>
    </row>
    <row r="39" spans="3:36" x14ac:dyDescent="0.3">
      <c r="D39" s="690">
        <f t="shared" si="6"/>
        <v>21474836.48</v>
      </c>
      <c r="E39" s="1018">
        <f t="shared" si="7"/>
        <v>23</v>
      </c>
      <c r="F39" s="749" t="s">
        <v>1073</v>
      </c>
      <c r="G39" s="1032">
        <v>7</v>
      </c>
      <c r="H39" s="690">
        <f t="shared" si="5"/>
        <v>150323855.36000001</v>
      </c>
      <c r="I39" s="989">
        <v>80</v>
      </c>
      <c r="J39" s="41">
        <f t="shared" si="4"/>
        <v>560</v>
      </c>
      <c r="L39" s="724"/>
      <c r="M39" s="1052"/>
      <c r="AA39" s="725"/>
      <c r="AI39" s="726"/>
      <c r="AJ39" s="727"/>
    </row>
    <row r="40" spans="3:36" x14ac:dyDescent="0.3">
      <c r="D40" s="690">
        <f t="shared" si="6"/>
        <v>21474836.48</v>
      </c>
      <c r="E40" s="1018">
        <f t="shared" si="7"/>
        <v>24</v>
      </c>
      <c r="F40" s="749" t="s">
        <v>1074</v>
      </c>
      <c r="G40" s="1032">
        <v>3</v>
      </c>
      <c r="H40" s="690">
        <f t="shared" si="5"/>
        <v>64424509.439999998</v>
      </c>
      <c r="I40" s="989">
        <v>80</v>
      </c>
      <c r="J40" s="41">
        <f t="shared" si="4"/>
        <v>240</v>
      </c>
      <c r="L40" s="724"/>
      <c r="M40" s="1052"/>
      <c r="AA40" s="725"/>
      <c r="AI40" s="726"/>
      <c r="AJ40" s="727"/>
    </row>
    <row r="41" spans="3:36" x14ac:dyDescent="0.3">
      <c r="C41" s="751"/>
      <c r="D41" s="751"/>
      <c r="E41" s="1017"/>
      <c r="F41" s="752" t="s">
        <v>1061</v>
      </c>
      <c r="G41" s="1029">
        <f>SUM(G33:G40)</f>
        <v>64</v>
      </c>
      <c r="H41" s="751">
        <f>SUM(H33:H40)</f>
        <v>1374389534.7200003</v>
      </c>
      <c r="I41" s="1039"/>
      <c r="J41" s="756"/>
      <c r="K41" s="1039">
        <f>SUM(J33:J40)</f>
        <v>5120</v>
      </c>
      <c r="L41" s="724"/>
      <c r="M41" s="1052"/>
      <c r="AA41" s="725"/>
      <c r="AI41" s="726"/>
      <c r="AJ41" s="727"/>
    </row>
    <row r="42" spans="3:36" x14ac:dyDescent="0.3">
      <c r="F42" s="754" t="s">
        <v>1062</v>
      </c>
      <c r="G42" s="1030">
        <v>64</v>
      </c>
      <c r="K42" s="938">
        <v>4</v>
      </c>
      <c r="L42" s="724"/>
      <c r="M42" s="1052"/>
      <c r="AA42" s="725"/>
      <c r="AI42" s="726"/>
      <c r="AJ42" s="727"/>
    </row>
    <row r="43" spans="3:36" x14ac:dyDescent="0.3">
      <c r="G43" s="1031"/>
      <c r="H43" s="750" t="s">
        <v>1063</v>
      </c>
      <c r="I43" s="1039"/>
      <c r="J43" s="753"/>
      <c r="K43" s="1039">
        <f>K41/4</f>
        <v>1280</v>
      </c>
      <c r="L43" s="724"/>
      <c r="M43" s="1052"/>
      <c r="AA43" s="725"/>
      <c r="AI43" s="726"/>
      <c r="AJ43" s="727"/>
    </row>
    <row r="44" spans="3:36" x14ac:dyDescent="0.3">
      <c r="E44" s="938"/>
      <c r="L44" s="724"/>
      <c r="M44" s="1052"/>
      <c r="AA44" s="725"/>
      <c r="AI44" s="726"/>
      <c r="AJ44" s="727"/>
    </row>
    <row r="45" spans="3:36" x14ac:dyDescent="0.3">
      <c r="L45" s="724"/>
      <c r="M45" s="1052"/>
      <c r="AA45" s="725"/>
      <c r="AI45" s="726"/>
      <c r="AJ45" s="727"/>
    </row>
    <row r="46" spans="3:36" x14ac:dyDescent="0.3">
      <c r="C46" s="691"/>
      <c r="D46" s="691" t="s">
        <v>1075</v>
      </c>
      <c r="L46" s="724"/>
      <c r="M46" s="1052"/>
      <c r="AA46" s="725"/>
      <c r="AI46" s="726"/>
      <c r="AJ46" s="727"/>
    </row>
    <row r="47" spans="3:36" x14ac:dyDescent="0.3">
      <c r="D47" s="690">
        <f>D111/4</f>
        <v>687194767.36000001</v>
      </c>
      <c r="L47" s="724"/>
      <c r="M47" s="1052"/>
      <c r="AA47" s="725"/>
      <c r="AI47" s="726"/>
      <c r="AJ47" s="727"/>
    </row>
    <row r="48" spans="3:36" x14ac:dyDescent="0.3">
      <c r="D48" s="755">
        <v>32</v>
      </c>
      <c r="E48" s="1013" t="s">
        <v>1066</v>
      </c>
      <c r="F48" s="738"/>
      <c r="L48" s="724"/>
      <c r="M48" s="1052"/>
      <c r="AA48" s="725"/>
      <c r="AI48" s="726"/>
      <c r="AJ48" s="727"/>
    </row>
    <row r="49" spans="3:36" x14ac:dyDescent="0.3">
      <c r="D49" s="690">
        <f>D47/D48</f>
        <v>21474836.48</v>
      </c>
      <c r="E49" s="1019">
        <f>E40+1</f>
        <v>25</v>
      </c>
      <c r="F49" s="749" t="s">
        <v>1076</v>
      </c>
      <c r="G49" s="1032">
        <v>8</v>
      </c>
      <c r="H49" s="690">
        <f t="shared" ref="H49:H52" si="8">D49*G49</f>
        <v>171798691.84</v>
      </c>
      <c r="I49" s="989">
        <v>80</v>
      </c>
      <c r="J49" s="41">
        <f t="shared" ref="J49:J52" si="9">G49*I49</f>
        <v>640</v>
      </c>
      <c r="L49" s="724"/>
      <c r="M49" s="1052"/>
      <c r="AA49" s="725"/>
      <c r="AI49" s="726"/>
      <c r="AJ49" s="727"/>
    </row>
    <row r="50" spans="3:36" x14ac:dyDescent="0.3">
      <c r="D50" s="690">
        <f>D49</f>
        <v>21474836.48</v>
      </c>
      <c r="E50" s="1019">
        <f>E49+1</f>
        <v>26</v>
      </c>
      <c r="F50" s="749" t="s">
        <v>1077</v>
      </c>
      <c r="G50" s="1032">
        <v>8</v>
      </c>
      <c r="H50" s="690">
        <f t="shared" si="8"/>
        <v>171798691.84</v>
      </c>
      <c r="I50" s="989">
        <v>80</v>
      </c>
      <c r="J50" s="41">
        <f t="shared" si="9"/>
        <v>640</v>
      </c>
      <c r="L50" s="724"/>
      <c r="M50" s="1052"/>
      <c r="AA50" s="725"/>
      <c r="AI50" s="726"/>
      <c r="AJ50" s="727"/>
    </row>
    <row r="51" spans="3:36" x14ac:dyDescent="0.3">
      <c r="D51" s="690">
        <f>D50</f>
        <v>21474836.48</v>
      </c>
      <c r="E51" s="1019">
        <f t="shared" ref="E51:E52" si="10">E50+1</f>
        <v>27</v>
      </c>
      <c r="F51" s="749" t="s">
        <v>1078</v>
      </c>
      <c r="G51" s="1032">
        <v>8</v>
      </c>
      <c r="H51" s="690">
        <f t="shared" si="8"/>
        <v>171798691.84</v>
      </c>
      <c r="I51" s="989">
        <v>80</v>
      </c>
      <c r="J51" s="41">
        <f t="shared" si="9"/>
        <v>640</v>
      </c>
      <c r="L51" s="724"/>
      <c r="M51" s="1052"/>
      <c r="AA51" s="725"/>
      <c r="AI51" s="726"/>
      <c r="AJ51" s="727"/>
    </row>
    <row r="52" spans="3:36" x14ac:dyDescent="0.3">
      <c r="D52" s="690">
        <f>D51</f>
        <v>21474836.48</v>
      </c>
      <c r="E52" s="1019">
        <f t="shared" si="10"/>
        <v>28</v>
      </c>
      <c r="F52" s="749" t="s">
        <v>1079</v>
      </c>
      <c r="G52" s="1032">
        <v>8</v>
      </c>
      <c r="H52" s="690">
        <f t="shared" si="8"/>
        <v>171798691.84</v>
      </c>
      <c r="I52" s="989">
        <v>80</v>
      </c>
      <c r="J52" s="41">
        <f t="shared" si="9"/>
        <v>640</v>
      </c>
      <c r="L52" s="724"/>
      <c r="M52" s="1052"/>
      <c r="AA52" s="725"/>
      <c r="AI52" s="726"/>
      <c r="AJ52" s="727"/>
    </row>
    <row r="53" spans="3:36" x14ac:dyDescent="0.3">
      <c r="C53" s="751"/>
      <c r="D53" s="751"/>
      <c r="E53" s="1017"/>
      <c r="F53" s="752" t="s">
        <v>1061</v>
      </c>
      <c r="G53" s="1029">
        <f>SUM(G49:G52)</f>
        <v>32</v>
      </c>
      <c r="H53" s="751">
        <f>SUM(H49:H52)</f>
        <v>687194767.36000001</v>
      </c>
      <c r="I53" s="1039"/>
      <c r="J53" s="753"/>
      <c r="K53" s="1039">
        <f>SUM(J49:J52)</f>
        <v>2560</v>
      </c>
      <c r="L53" s="724"/>
      <c r="M53" s="1052"/>
      <c r="AA53" s="725"/>
      <c r="AI53" s="726"/>
      <c r="AJ53" s="727"/>
    </row>
    <row r="54" spans="3:36" x14ac:dyDescent="0.3">
      <c r="F54" s="754" t="s">
        <v>1062</v>
      </c>
      <c r="G54" s="1030">
        <v>32</v>
      </c>
      <c r="K54" s="938">
        <v>4</v>
      </c>
      <c r="L54" s="724"/>
      <c r="M54" s="1052"/>
      <c r="AA54" s="725"/>
      <c r="AI54" s="726"/>
      <c r="AJ54" s="727"/>
    </row>
    <row r="55" spans="3:36" x14ac:dyDescent="0.3">
      <c r="G55" s="1031"/>
      <c r="H55" s="750" t="s">
        <v>1063</v>
      </c>
      <c r="I55" s="1039"/>
      <c r="J55" s="753"/>
      <c r="K55" s="1039">
        <f>K53/K54</f>
        <v>640</v>
      </c>
      <c r="L55" s="724"/>
      <c r="M55" s="1052"/>
      <c r="AA55" s="725"/>
      <c r="AI55" s="726"/>
      <c r="AJ55" s="727"/>
    </row>
    <row r="56" spans="3:36" x14ac:dyDescent="0.3">
      <c r="L56" s="724"/>
      <c r="M56" s="1052"/>
      <c r="AA56" s="725"/>
      <c r="AI56" s="726"/>
      <c r="AJ56" s="727"/>
    </row>
    <row r="57" spans="3:36" x14ac:dyDescent="0.3">
      <c r="C57" s="691"/>
      <c r="D57" s="691" t="s">
        <v>1080</v>
      </c>
      <c r="L57" s="724"/>
      <c r="M57" s="1052"/>
      <c r="AA57" s="725"/>
      <c r="AI57" s="726"/>
      <c r="AJ57" s="727"/>
    </row>
    <row r="58" spans="3:36" x14ac:dyDescent="0.3">
      <c r="D58" s="690">
        <f>D111/4</f>
        <v>687194767.36000001</v>
      </c>
      <c r="L58" s="724"/>
      <c r="M58" s="1052"/>
      <c r="AA58" s="725"/>
      <c r="AI58" s="726"/>
      <c r="AJ58" s="727"/>
    </row>
    <row r="59" spans="3:36" x14ac:dyDescent="0.3">
      <c r="D59" s="755">
        <v>32</v>
      </c>
      <c r="E59" s="1013" t="s">
        <v>1066</v>
      </c>
      <c r="F59" s="738"/>
      <c r="L59" s="724"/>
      <c r="M59" s="1052"/>
      <c r="AA59" s="725"/>
      <c r="AI59" s="726"/>
      <c r="AJ59" s="727"/>
    </row>
    <row r="60" spans="3:36" x14ac:dyDescent="0.3">
      <c r="D60" s="690">
        <f>D58/D59</f>
        <v>21474836.48</v>
      </c>
      <c r="E60" s="1020">
        <f>E52+1</f>
        <v>29</v>
      </c>
      <c r="F60" s="749" t="s">
        <v>35</v>
      </c>
      <c r="G60" s="1032">
        <v>8</v>
      </c>
      <c r="H60" s="690">
        <f t="shared" ref="H60:H63" si="11">D60*G60</f>
        <v>171798691.84</v>
      </c>
      <c r="I60" s="989">
        <v>80</v>
      </c>
      <c r="J60" s="41">
        <f t="shared" ref="J60:J63" si="12">G60*I60</f>
        <v>640</v>
      </c>
      <c r="L60" s="724"/>
      <c r="M60" s="1052"/>
      <c r="AA60" s="725"/>
      <c r="AI60" s="726"/>
      <c r="AJ60" s="727"/>
    </row>
    <row r="61" spans="3:36" x14ac:dyDescent="0.3">
      <c r="D61" s="690">
        <f>D60</f>
        <v>21474836.48</v>
      </c>
      <c r="E61" s="1020">
        <f>E60+1</f>
        <v>30</v>
      </c>
      <c r="F61" s="749" t="s">
        <v>1081</v>
      </c>
      <c r="G61" s="1032">
        <v>8</v>
      </c>
      <c r="H61" s="690">
        <f t="shared" si="11"/>
        <v>171798691.84</v>
      </c>
      <c r="I61" s="989">
        <v>80</v>
      </c>
      <c r="J61" s="41">
        <f t="shared" si="12"/>
        <v>640</v>
      </c>
      <c r="L61" s="724"/>
      <c r="M61" s="1052"/>
      <c r="AA61" s="725"/>
      <c r="AI61" s="726"/>
      <c r="AJ61" s="727"/>
    </row>
    <row r="62" spans="3:36" x14ac:dyDescent="0.3">
      <c r="D62" s="690">
        <f>D61</f>
        <v>21474836.48</v>
      </c>
      <c r="E62" s="1020">
        <f t="shared" ref="E62:E63" si="13">E61+1</f>
        <v>31</v>
      </c>
      <c r="F62" s="757" t="s">
        <v>1082</v>
      </c>
      <c r="G62" s="1032">
        <v>4</v>
      </c>
      <c r="H62" s="690">
        <f t="shared" si="11"/>
        <v>85899345.920000002</v>
      </c>
      <c r="I62" s="989">
        <v>80</v>
      </c>
      <c r="J62" s="41">
        <f t="shared" si="12"/>
        <v>320</v>
      </c>
      <c r="L62" s="724"/>
      <c r="M62" s="1052"/>
      <c r="AA62" s="725"/>
      <c r="AI62" s="726"/>
      <c r="AJ62" s="727"/>
    </row>
    <row r="63" spans="3:36" x14ac:dyDescent="0.3">
      <c r="D63" s="690">
        <f>D62</f>
        <v>21474836.48</v>
      </c>
      <c r="E63" s="1020">
        <f t="shared" si="13"/>
        <v>32</v>
      </c>
      <c r="F63" s="749" t="s">
        <v>148</v>
      </c>
      <c r="G63" s="1032">
        <v>12</v>
      </c>
      <c r="H63" s="690">
        <f t="shared" si="11"/>
        <v>257698037.75999999</v>
      </c>
      <c r="I63" s="989">
        <v>80</v>
      </c>
      <c r="J63" s="41">
        <f t="shared" si="12"/>
        <v>960</v>
      </c>
      <c r="L63" s="724"/>
      <c r="M63" s="1052"/>
      <c r="AA63" s="725"/>
      <c r="AI63" s="726"/>
      <c r="AJ63" s="727"/>
    </row>
    <row r="64" spans="3:36" x14ac:dyDescent="0.3">
      <c r="C64" s="751"/>
      <c r="D64" s="751"/>
      <c r="E64" s="1017"/>
      <c r="F64" s="752" t="s">
        <v>1061</v>
      </c>
      <c r="G64" s="1029">
        <f>SUM(G60:G63)</f>
        <v>32</v>
      </c>
      <c r="H64" s="751">
        <f>SUM(H60:H63)</f>
        <v>687194767.36000001</v>
      </c>
      <c r="I64" s="1039"/>
      <c r="J64" s="753"/>
      <c r="K64" s="1039">
        <f>SUM(J60:J63)</f>
        <v>2560</v>
      </c>
      <c r="L64" s="724"/>
      <c r="M64" s="1052"/>
      <c r="AA64" s="725"/>
      <c r="AI64" s="726"/>
      <c r="AJ64" s="727"/>
    </row>
    <row r="65" spans="3:36" x14ac:dyDescent="0.3">
      <c r="F65" s="754" t="s">
        <v>1062</v>
      </c>
      <c r="G65" s="1030">
        <v>32</v>
      </c>
      <c r="K65" s="938">
        <v>4</v>
      </c>
      <c r="L65" s="724"/>
      <c r="M65" s="1052"/>
      <c r="AA65" s="725"/>
      <c r="AI65" s="726"/>
      <c r="AJ65" s="727"/>
    </row>
    <row r="66" spans="3:36" x14ac:dyDescent="0.3">
      <c r="G66" s="1031"/>
      <c r="H66" s="750" t="s">
        <v>1063</v>
      </c>
      <c r="I66" s="1039"/>
      <c r="J66" s="753"/>
      <c r="K66" s="1039">
        <f>K64/K65</f>
        <v>640</v>
      </c>
      <c r="L66" s="724"/>
      <c r="M66" s="1052"/>
      <c r="AA66" s="725"/>
      <c r="AI66" s="726"/>
      <c r="AJ66" s="727"/>
    </row>
    <row r="67" spans="3:36" x14ac:dyDescent="0.3">
      <c r="L67" s="724"/>
      <c r="M67" s="1052"/>
      <c r="AA67" s="725"/>
      <c r="AI67" s="726"/>
      <c r="AJ67" s="727"/>
    </row>
    <row r="68" spans="3:36" x14ac:dyDescent="0.3">
      <c r="L68" s="724"/>
      <c r="M68" s="1052"/>
      <c r="AA68" s="725"/>
      <c r="AI68" s="726"/>
      <c r="AJ68" s="727"/>
    </row>
    <row r="69" spans="3:36" x14ac:dyDescent="0.3">
      <c r="E69" s="938"/>
      <c r="H69" s="758" t="s">
        <v>1083</v>
      </c>
      <c r="I69" s="1040"/>
      <c r="J69" s="759"/>
      <c r="K69" s="1040">
        <f>K28+K43+K55+K66</f>
        <v>4480</v>
      </c>
      <c r="L69" s="724"/>
      <c r="M69" s="1052"/>
      <c r="AA69" s="725"/>
      <c r="AI69" s="726"/>
      <c r="AJ69" s="727"/>
    </row>
    <row r="70" spans="3:36" x14ac:dyDescent="0.3">
      <c r="E70" s="938"/>
      <c r="L70" s="724"/>
      <c r="M70" s="1052"/>
      <c r="AA70" s="725"/>
      <c r="AI70" s="726"/>
      <c r="AJ70" s="727"/>
    </row>
    <row r="71" spans="3:36" x14ac:dyDescent="0.3">
      <c r="E71" s="938"/>
      <c r="H71" s="758" t="s">
        <v>1084</v>
      </c>
      <c r="I71" s="1040"/>
      <c r="J71" s="759">
        <f>SUM(J11:J70)</f>
        <v>18880</v>
      </c>
      <c r="K71" s="1040"/>
      <c r="L71" s="724"/>
      <c r="M71" s="1052"/>
      <c r="AA71" s="725"/>
      <c r="AI71" s="726"/>
      <c r="AJ71" s="727"/>
    </row>
    <row r="72" spans="3:36" x14ac:dyDescent="0.3">
      <c r="E72" s="938"/>
      <c r="F72" s="690" t="s">
        <v>1223</v>
      </c>
      <c r="L72" s="724"/>
      <c r="M72" s="1052"/>
      <c r="AA72" s="725"/>
      <c r="AI72" s="726"/>
      <c r="AJ72" s="727"/>
    </row>
    <row r="73" spans="3:36" x14ac:dyDescent="0.3">
      <c r="F73" s="690" t="s">
        <v>1222</v>
      </c>
      <c r="H73" s="750" t="s">
        <v>1085</v>
      </c>
      <c r="I73" s="1039"/>
      <c r="J73" s="753">
        <f>K69+J71</f>
        <v>23360</v>
      </c>
      <c r="K73" s="1039"/>
      <c r="L73" s="724"/>
      <c r="M73" s="1052"/>
      <c r="AA73" s="725"/>
      <c r="AI73" s="726"/>
      <c r="AJ73" s="727"/>
    </row>
    <row r="74" spans="3:36" x14ac:dyDescent="0.3">
      <c r="F74" s="690" t="s">
        <v>1224</v>
      </c>
      <c r="L74" s="724"/>
      <c r="M74" s="1052"/>
      <c r="AA74" s="725"/>
      <c r="AI74" s="726"/>
      <c r="AJ74" s="727"/>
    </row>
    <row r="75" spans="3:36" x14ac:dyDescent="0.3">
      <c r="F75" s="690" t="s">
        <v>1225</v>
      </c>
      <c r="H75" s="690" t="s">
        <v>1086</v>
      </c>
      <c r="J75" s="41">
        <f>J73*4</f>
        <v>93440</v>
      </c>
      <c r="L75" s="724"/>
      <c r="M75" s="1052"/>
      <c r="AA75" s="725"/>
      <c r="AI75" s="726"/>
      <c r="AJ75" s="727"/>
    </row>
    <row r="76" spans="3:36" x14ac:dyDescent="0.3">
      <c r="F76" s="690" t="s">
        <v>1226</v>
      </c>
      <c r="H76" s="690" t="s">
        <v>1087</v>
      </c>
      <c r="J76" s="41">
        <f>J73*4</f>
        <v>93440</v>
      </c>
      <c r="L76" s="724"/>
      <c r="M76" s="1052"/>
      <c r="AA76" s="725"/>
      <c r="AI76" s="726"/>
      <c r="AJ76" s="727"/>
    </row>
    <row r="77" spans="3:36" ht="16.2" customHeight="1" thickBot="1" x14ac:dyDescent="0.35">
      <c r="F77" s="690" t="s">
        <v>1221</v>
      </c>
      <c r="H77" s="760" t="s">
        <v>1088</v>
      </c>
      <c r="I77" s="1041"/>
      <c r="J77" s="761">
        <f>SUM(J73:J76)</f>
        <v>210240</v>
      </c>
      <c r="K77" s="1041"/>
      <c r="L77" s="724"/>
      <c r="M77" s="1052"/>
      <c r="AA77" s="725"/>
      <c r="AI77" s="726"/>
      <c r="AJ77" s="727"/>
    </row>
    <row r="78" spans="3:36" ht="16.2" customHeight="1" x14ac:dyDescent="0.3">
      <c r="L78" s="724"/>
      <c r="M78" s="1052"/>
      <c r="AA78" s="725"/>
      <c r="AI78" s="726"/>
      <c r="AJ78" s="727"/>
    </row>
    <row r="79" spans="3:36" x14ac:dyDescent="0.3">
      <c r="C79" s="691"/>
      <c r="D79" s="691" t="s">
        <v>1089</v>
      </c>
      <c r="E79" s="999"/>
      <c r="F79" s="691" t="s">
        <v>1090</v>
      </c>
      <c r="G79" s="949"/>
      <c r="H79" s="762" t="s">
        <v>1091</v>
      </c>
      <c r="I79" s="949"/>
      <c r="J79" s="318"/>
      <c r="K79" s="953"/>
      <c r="L79" s="724"/>
      <c r="M79" s="1052"/>
      <c r="AA79" s="725"/>
      <c r="AI79" s="726"/>
      <c r="AJ79" s="727"/>
    </row>
    <row r="80" spans="3:36" x14ac:dyDescent="0.3">
      <c r="D80" s="690">
        <f>D113</f>
        <v>21474836.48</v>
      </c>
      <c r="J80" s="41" t="s">
        <v>1092</v>
      </c>
      <c r="L80" s="724"/>
      <c r="M80" s="1052"/>
      <c r="AA80" s="725"/>
      <c r="AI80" s="726"/>
      <c r="AJ80" s="727"/>
    </row>
    <row r="81" spans="3:36" x14ac:dyDescent="0.3">
      <c r="D81" s="690">
        <f>D80</f>
        <v>21474836.48</v>
      </c>
      <c r="F81" s="690" t="s">
        <v>1093</v>
      </c>
      <c r="G81" s="947">
        <v>32</v>
      </c>
      <c r="H81" s="690">
        <f>D81*G81</f>
        <v>687194767.36000001</v>
      </c>
      <c r="I81" s="1042">
        <v>3.125E-2</v>
      </c>
      <c r="J81" s="41">
        <f>H81*I81</f>
        <v>21474836.48</v>
      </c>
      <c r="L81" s="724"/>
      <c r="M81" s="1052"/>
      <c r="AA81" s="725"/>
      <c r="AI81" s="726"/>
      <c r="AJ81" s="727"/>
    </row>
    <row r="82" spans="3:36" x14ac:dyDescent="0.3">
      <c r="D82" s="690">
        <f t="shared" ref="D82:D87" si="14">D81</f>
        <v>21474836.48</v>
      </c>
      <c r="F82" s="690" t="s">
        <v>1094</v>
      </c>
      <c r="G82" s="947">
        <v>16</v>
      </c>
      <c r="H82" s="690">
        <f t="shared" ref="H82:H87" si="15">D82*G82</f>
        <v>343597383.68000001</v>
      </c>
      <c r="I82" s="1042">
        <v>3.125E-2</v>
      </c>
      <c r="J82" s="41">
        <f t="shared" ref="J82:J87" si="16">H82*I82</f>
        <v>10737418.24</v>
      </c>
      <c r="L82" s="724"/>
      <c r="M82" s="1052"/>
      <c r="AA82" s="725"/>
      <c r="AI82" s="726"/>
      <c r="AJ82" s="727"/>
    </row>
    <row r="83" spans="3:36" x14ac:dyDescent="0.3">
      <c r="D83" s="690">
        <f t="shared" si="14"/>
        <v>21474836.48</v>
      </c>
      <c r="F83" s="690" t="s">
        <v>1095</v>
      </c>
      <c r="G83" s="947">
        <v>16</v>
      </c>
      <c r="H83" s="690">
        <f t="shared" si="15"/>
        <v>343597383.68000001</v>
      </c>
      <c r="I83" s="1042">
        <v>3.125E-2</v>
      </c>
      <c r="J83" s="41">
        <f t="shared" si="16"/>
        <v>10737418.24</v>
      </c>
      <c r="L83" s="724"/>
      <c r="M83" s="1052"/>
      <c r="AA83" s="725"/>
      <c r="AI83" s="726"/>
      <c r="AJ83" s="727"/>
    </row>
    <row r="84" spans="3:36" x14ac:dyDescent="0.3">
      <c r="D84" s="690">
        <f t="shared" si="14"/>
        <v>21474836.48</v>
      </c>
      <c r="F84" s="690" t="s">
        <v>1096</v>
      </c>
      <c r="G84" s="947">
        <v>16</v>
      </c>
      <c r="H84" s="690">
        <f t="shared" si="15"/>
        <v>343597383.68000001</v>
      </c>
      <c r="I84" s="1042">
        <v>3.125E-2</v>
      </c>
      <c r="J84" s="41">
        <f t="shared" si="16"/>
        <v>10737418.24</v>
      </c>
      <c r="L84" s="724"/>
      <c r="M84" s="1052"/>
      <c r="AA84" s="725"/>
      <c r="AI84" s="726"/>
      <c r="AJ84" s="727"/>
    </row>
    <row r="85" spans="3:36" x14ac:dyDescent="0.3">
      <c r="D85" s="690">
        <f t="shared" si="14"/>
        <v>21474836.48</v>
      </c>
      <c r="F85" s="690" t="s">
        <v>1097</v>
      </c>
      <c r="G85" s="947">
        <v>16</v>
      </c>
      <c r="H85" s="690">
        <f t="shared" si="15"/>
        <v>343597383.68000001</v>
      </c>
      <c r="I85" s="1042">
        <v>3.125E-2</v>
      </c>
      <c r="J85" s="41">
        <f t="shared" si="16"/>
        <v>10737418.24</v>
      </c>
      <c r="L85" s="724"/>
      <c r="M85" s="1052"/>
      <c r="AA85" s="725"/>
      <c r="AI85" s="726"/>
      <c r="AJ85" s="727"/>
    </row>
    <row r="86" spans="3:36" x14ac:dyDescent="0.3">
      <c r="D86" s="690">
        <f t="shared" si="14"/>
        <v>21474836.48</v>
      </c>
      <c r="F86" s="690" t="s">
        <v>1098</v>
      </c>
      <c r="G86" s="947">
        <v>16</v>
      </c>
      <c r="H86" s="690">
        <f t="shared" si="15"/>
        <v>343597383.68000001</v>
      </c>
      <c r="I86" s="1042">
        <v>3.125E-2</v>
      </c>
      <c r="J86" s="41">
        <f t="shared" si="16"/>
        <v>10737418.24</v>
      </c>
      <c r="L86" s="724"/>
      <c r="M86" s="1052"/>
      <c r="AA86" s="725"/>
      <c r="AI86" s="726"/>
      <c r="AJ86" s="727"/>
    </row>
    <row r="87" spans="3:36" x14ac:dyDescent="0.3">
      <c r="D87" s="690">
        <f t="shared" si="14"/>
        <v>21474836.48</v>
      </c>
      <c r="F87" s="690" t="s">
        <v>148</v>
      </c>
      <c r="G87" s="947">
        <v>16</v>
      </c>
      <c r="H87" s="690">
        <f t="shared" si="15"/>
        <v>343597383.68000001</v>
      </c>
      <c r="I87" s="1042">
        <v>3.125E-2</v>
      </c>
      <c r="J87" s="41">
        <f t="shared" si="16"/>
        <v>10737418.24</v>
      </c>
      <c r="L87" s="724"/>
      <c r="M87" s="1052"/>
      <c r="AA87" s="725"/>
      <c r="AI87" s="726"/>
      <c r="AJ87" s="727"/>
    </row>
    <row r="88" spans="3:36" ht="16.2" thickBot="1" x14ac:dyDescent="0.35">
      <c r="G88" s="1033">
        <f>SUM(G81:G87)</f>
        <v>128</v>
      </c>
      <c r="H88" s="763">
        <f>SUM(H81:H87)</f>
        <v>2748779069.4400001</v>
      </c>
      <c r="I88" s="1043"/>
      <c r="J88" s="82">
        <f>SUM(J81:J87)</f>
        <v>85899345.920000002</v>
      </c>
      <c r="L88" s="724"/>
      <c r="M88" s="1052"/>
      <c r="AA88" s="725"/>
      <c r="AI88" s="726"/>
      <c r="AJ88" s="727"/>
    </row>
    <row r="89" spans="3:36" x14ac:dyDescent="0.3">
      <c r="C89" s="764"/>
      <c r="D89" s="764"/>
      <c r="E89" s="1021"/>
      <c r="F89" s="764" t="s">
        <v>1099</v>
      </c>
      <c r="G89" s="1030"/>
      <c r="H89" s="765"/>
      <c r="I89" s="1044"/>
      <c r="J89" s="84"/>
      <c r="L89" s="724"/>
      <c r="M89" s="1052"/>
      <c r="AA89" s="725"/>
      <c r="AI89" s="726"/>
      <c r="AJ89" s="727"/>
    </row>
    <row r="90" spans="3:36" ht="16.2" thickBot="1" x14ac:dyDescent="0.35">
      <c r="C90" s="766"/>
      <c r="D90" s="766"/>
      <c r="E90" s="1022"/>
      <c r="F90" s="766" t="s">
        <v>1100</v>
      </c>
      <c r="I90" s="947" t="s">
        <v>1101</v>
      </c>
      <c r="L90" s="724"/>
      <c r="M90" s="1052"/>
      <c r="AA90" s="725"/>
      <c r="AI90" s="726"/>
      <c r="AJ90" s="727"/>
    </row>
    <row r="91" spans="3:36" ht="16.2" thickBot="1" x14ac:dyDescent="0.35">
      <c r="D91" s="690">
        <f>D87</f>
        <v>21474836.48</v>
      </c>
      <c r="F91" s="690" t="s">
        <v>1102</v>
      </c>
      <c r="G91" s="947">
        <v>16</v>
      </c>
      <c r="H91" s="690">
        <f t="shared" ref="H91:H97" si="17">D91*G91</f>
        <v>343597383.68000001</v>
      </c>
      <c r="I91" s="1045">
        <v>16</v>
      </c>
      <c r="J91" s="41">
        <f>H91/I91</f>
        <v>21474836.48</v>
      </c>
      <c r="L91" s="767"/>
      <c r="M91" s="1053"/>
      <c r="AA91" s="725"/>
      <c r="AI91" s="726"/>
      <c r="AJ91" s="727"/>
    </row>
    <row r="92" spans="3:36" x14ac:dyDescent="0.3">
      <c r="D92" s="690">
        <f>D91</f>
        <v>21474836.48</v>
      </c>
      <c r="F92" s="690" t="s">
        <v>1103</v>
      </c>
      <c r="G92" s="947">
        <v>12</v>
      </c>
      <c r="H92" s="690">
        <f t="shared" si="17"/>
        <v>257698037.75999999</v>
      </c>
      <c r="I92" s="938">
        <f>I91</f>
        <v>16</v>
      </c>
      <c r="J92" s="41">
        <f t="shared" ref="J92:J97" si="18">H92/I92</f>
        <v>16106127.359999999</v>
      </c>
      <c r="L92" s="767"/>
      <c r="M92" s="1053"/>
      <c r="AA92" s="725"/>
      <c r="AI92" s="726"/>
      <c r="AJ92" s="727"/>
    </row>
    <row r="93" spans="3:36" x14ac:dyDescent="0.3">
      <c r="D93" s="690">
        <f>D92</f>
        <v>21474836.48</v>
      </c>
      <c r="F93" s="690" t="s">
        <v>1104</v>
      </c>
      <c r="G93" s="947">
        <v>4</v>
      </c>
      <c r="H93" s="690">
        <f t="shared" si="17"/>
        <v>85899345.920000002</v>
      </c>
      <c r="I93" s="938">
        <f>I92</f>
        <v>16</v>
      </c>
      <c r="J93" s="41">
        <f t="shared" si="18"/>
        <v>5368709.1200000001</v>
      </c>
      <c r="L93" s="767"/>
      <c r="M93" s="1053"/>
      <c r="AA93" s="725"/>
      <c r="AI93" s="726"/>
      <c r="AJ93" s="727"/>
    </row>
    <row r="94" spans="3:36" x14ac:dyDescent="0.3">
      <c r="D94" s="690">
        <f>D93</f>
        <v>21474836.48</v>
      </c>
      <c r="F94" s="690" t="s">
        <v>1105</v>
      </c>
      <c r="G94" s="947">
        <v>12</v>
      </c>
      <c r="H94" s="690">
        <f t="shared" si="17"/>
        <v>257698037.75999999</v>
      </c>
      <c r="I94" s="938">
        <f>I93</f>
        <v>16</v>
      </c>
      <c r="J94" s="41">
        <f t="shared" si="18"/>
        <v>16106127.359999999</v>
      </c>
      <c r="L94" s="767"/>
      <c r="M94" s="1053"/>
      <c r="AA94" s="725"/>
      <c r="AI94" s="726"/>
      <c r="AJ94" s="727"/>
    </row>
    <row r="95" spans="3:36" x14ac:dyDescent="0.3">
      <c r="D95" s="690">
        <f t="shared" ref="D95:D97" si="19">D94</f>
        <v>21474836.48</v>
      </c>
      <c r="F95" s="690" t="s">
        <v>155</v>
      </c>
      <c r="G95" s="947">
        <v>12</v>
      </c>
      <c r="H95" s="690">
        <f t="shared" si="17"/>
        <v>257698037.75999999</v>
      </c>
      <c r="I95" s="938">
        <f>I94</f>
        <v>16</v>
      </c>
      <c r="J95" s="41">
        <f t="shared" si="18"/>
        <v>16106127.359999999</v>
      </c>
      <c r="L95" s="767"/>
      <c r="M95" s="1053"/>
      <c r="AA95" s="725"/>
      <c r="AI95" s="726"/>
      <c r="AJ95" s="727"/>
    </row>
    <row r="96" spans="3:36" x14ac:dyDescent="0.3">
      <c r="D96" s="690">
        <f t="shared" si="19"/>
        <v>21474836.48</v>
      </c>
      <c r="F96" s="690" t="s">
        <v>761</v>
      </c>
      <c r="G96" s="947">
        <v>16</v>
      </c>
      <c r="H96" s="690">
        <f t="shared" si="17"/>
        <v>343597383.68000001</v>
      </c>
      <c r="I96" s="938">
        <f t="shared" ref="I96:I97" si="20">I95</f>
        <v>16</v>
      </c>
      <c r="J96" s="41">
        <f t="shared" si="18"/>
        <v>21474836.48</v>
      </c>
      <c r="L96" s="767"/>
      <c r="M96" s="1053"/>
      <c r="AA96" s="725"/>
      <c r="AI96" s="726"/>
      <c r="AJ96" s="727"/>
    </row>
    <row r="97" spans="1:78" x14ac:dyDescent="0.3">
      <c r="D97" s="690">
        <f t="shared" si="19"/>
        <v>21474836.48</v>
      </c>
      <c r="F97" s="690" t="s">
        <v>148</v>
      </c>
      <c r="G97" s="947">
        <v>8</v>
      </c>
      <c r="H97" s="690">
        <f t="shared" si="17"/>
        <v>171798691.84</v>
      </c>
      <c r="I97" s="938">
        <f t="shared" si="20"/>
        <v>16</v>
      </c>
      <c r="J97" s="41">
        <f t="shared" si="18"/>
        <v>10737418.24</v>
      </c>
      <c r="L97" s="767"/>
      <c r="M97" s="1053"/>
      <c r="AA97" s="725"/>
      <c r="AI97" s="726"/>
      <c r="AJ97" s="727"/>
    </row>
    <row r="98" spans="1:78" ht="16.2" thickBot="1" x14ac:dyDescent="0.35">
      <c r="E98" s="938"/>
      <c r="G98" s="1034">
        <f>SUM(G91:G97)</f>
        <v>80</v>
      </c>
      <c r="H98" s="768">
        <f>SUM(H91:H97)</f>
        <v>1717986918.4000001</v>
      </c>
      <c r="I98" s="979"/>
      <c r="J98" s="769">
        <f>SUM(J91:J97)</f>
        <v>107374182.40000001</v>
      </c>
      <c r="L98" s="767"/>
      <c r="M98" s="1053"/>
      <c r="AA98" s="725"/>
      <c r="AI98" s="726"/>
      <c r="AJ98" s="727"/>
    </row>
    <row r="99" spans="1:78" ht="16.2" thickTop="1" x14ac:dyDescent="0.3">
      <c r="C99" s="766"/>
      <c r="D99" s="766"/>
      <c r="E99" s="1022"/>
      <c r="F99" s="766" t="s">
        <v>1106</v>
      </c>
      <c r="L99" s="767"/>
      <c r="M99" s="1053"/>
      <c r="AA99" s="725"/>
      <c r="AI99" s="726"/>
      <c r="AJ99" s="727"/>
    </row>
    <row r="100" spans="1:78" x14ac:dyDescent="0.3">
      <c r="C100" s="695"/>
      <c r="D100" s="695">
        <f>D97</f>
        <v>21474836.48</v>
      </c>
      <c r="E100" s="1023"/>
      <c r="F100" s="690" t="s">
        <v>1103</v>
      </c>
      <c r="G100" s="947">
        <v>12</v>
      </c>
      <c r="H100" s="690">
        <f t="shared" ref="H100:H101" si="21">D100*G100</f>
        <v>257698037.75999999</v>
      </c>
      <c r="I100" s="938">
        <f>I91</f>
        <v>16</v>
      </c>
      <c r="J100" s="41">
        <f t="shared" ref="J100:J104" si="22">H100/I100</f>
        <v>16106127.359999999</v>
      </c>
      <c r="L100" s="767"/>
      <c r="M100" s="1053"/>
      <c r="AA100" s="725"/>
      <c r="AI100" s="726"/>
      <c r="AJ100" s="727"/>
    </row>
    <row r="101" spans="1:78" x14ac:dyDescent="0.3">
      <c r="C101" s="695"/>
      <c r="D101" s="695">
        <f>D100</f>
        <v>21474836.48</v>
      </c>
      <c r="E101" s="1023"/>
      <c r="F101" s="690" t="s">
        <v>1105</v>
      </c>
      <c r="G101" s="947">
        <v>20</v>
      </c>
      <c r="H101" s="690">
        <f t="shared" si="21"/>
        <v>429496729.60000002</v>
      </c>
      <c r="I101" s="938">
        <f t="shared" ref="I101:I104" si="23">I100</f>
        <v>16</v>
      </c>
      <c r="J101" s="41">
        <f t="shared" si="22"/>
        <v>26843545.600000001</v>
      </c>
      <c r="L101" s="767"/>
      <c r="M101" s="1053"/>
      <c r="AA101" s="725"/>
      <c r="AI101" s="726"/>
      <c r="AJ101" s="727"/>
    </row>
    <row r="102" spans="1:78" x14ac:dyDescent="0.3">
      <c r="C102" s="695"/>
      <c r="D102" s="695">
        <f t="shared" ref="D102:D104" si="24">D101</f>
        <v>21474836.48</v>
      </c>
      <c r="E102" s="1023"/>
      <c r="F102" s="690" t="s">
        <v>155</v>
      </c>
      <c r="G102" s="947">
        <v>4</v>
      </c>
      <c r="H102" s="690">
        <v>0</v>
      </c>
      <c r="I102" s="938">
        <f t="shared" si="23"/>
        <v>16</v>
      </c>
      <c r="J102" s="41">
        <f t="shared" si="22"/>
        <v>0</v>
      </c>
      <c r="L102" s="767"/>
      <c r="M102" s="1053"/>
      <c r="AA102" s="725"/>
      <c r="AI102" s="726"/>
      <c r="AJ102" s="727"/>
    </row>
    <row r="103" spans="1:78" x14ac:dyDescent="0.3">
      <c r="C103" s="695"/>
      <c r="D103" s="695">
        <f t="shared" si="24"/>
        <v>21474836.48</v>
      </c>
      <c r="E103" s="1023"/>
      <c r="F103" s="690" t="s">
        <v>761</v>
      </c>
      <c r="G103" s="947">
        <v>4</v>
      </c>
      <c r="H103" s="690">
        <f t="shared" ref="H103:H104" si="25">D103*G103</f>
        <v>85899345.920000002</v>
      </c>
      <c r="I103" s="938">
        <f t="shared" si="23"/>
        <v>16</v>
      </c>
      <c r="J103" s="41">
        <f t="shared" si="22"/>
        <v>5368709.1200000001</v>
      </c>
      <c r="L103" s="767"/>
      <c r="M103" s="1053"/>
      <c r="AA103" s="725"/>
      <c r="AI103" s="726"/>
      <c r="AJ103" s="727"/>
    </row>
    <row r="104" spans="1:78" x14ac:dyDescent="0.3">
      <c r="C104" s="695"/>
      <c r="D104" s="695">
        <f t="shared" si="24"/>
        <v>21474836.48</v>
      </c>
      <c r="E104" s="1023"/>
      <c r="F104" s="690" t="s">
        <v>148</v>
      </c>
      <c r="G104" s="947">
        <v>8</v>
      </c>
      <c r="H104" s="690">
        <f t="shared" si="25"/>
        <v>171798691.84</v>
      </c>
      <c r="I104" s="938">
        <f t="shared" si="23"/>
        <v>16</v>
      </c>
      <c r="J104" s="41">
        <f t="shared" si="22"/>
        <v>10737418.24</v>
      </c>
      <c r="L104" s="767"/>
      <c r="M104" s="1053"/>
      <c r="AA104" s="725"/>
      <c r="AI104" s="726"/>
      <c r="AJ104" s="727"/>
    </row>
    <row r="105" spans="1:78" ht="16.2" thickBot="1" x14ac:dyDescent="0.35">
      <c r="C105" s="695"/>
      <c r="D105" s="695"/>
      <c r="E105" s="1023"/>
      <c r="F105" s="695"/>
      <c r="G105" s="1034">
        <f>SUM(G100:G104)</f>
        <v>48</v>
      </c>
      <c r="H105" s="768">
        <f>SUM(H100:H104)</f>
        <v>944892805.12</v>
      </c>
      <c r="I105" s="979"/>
      <c r="J105" s="769">
        <f>SUM(J100:J104)</f>
        <v>59055800.32</v>
      </c>
      <c r="L105" s="767"/>
      <c r="M105" s="1053"/>
      <c r="AA105" s="725"/>
      <c r="AI105" s="726"/>
      <c r="AJ105" s="727"/>
    </row>
    <row r="106" spans="1:78" ht="16.2" thickTop="1" x14ac:dyDescent="0.3">
      <c r="C106" s="695"/>
      <c r="D106" s="695"/>
      <c r="E106" s="1023"/>
      <c r="F106" s="695"/>
      <c r="J106" s="296" t="s">
        <v>1107</v>
      </c>
      <c r="L106" s="767"/>
      <c r="M106" s="1053"/>
      <c r="AA106" s="725"/>
      <c r="AI106" s="726"/>
      <c r="AJ106" s="727"/>
    </row>
    <row r="107" spans="1:78" ht="16.2" thickBot="1" x14ac:dyDescent="0.35">
      <c r="F107" s="754" t="s">
        <v>1108</v>
      </c>
      <c r="G107" s="1033">
        <f>G98+G105</f>
        <v>128</v>
      </c>
      <c r="H107" s="763">
        <f>H98+H105</f>
        <v>2662879723.52</v>
      </c>
      <c r="I107" s="1043"/>
      <c r="J107" s="82">
        <f>J98+J105</f>
        <v>166429982.72</v>
      </c>
      <c r="L107" s="767"/>
      <c r="M107" s="1053"/>
      <c r="AA107" s="725"/>
      <c r="AI107" s="726"/>
      <c r="AJ107" s="727"/>
    </row>
    <row r="108" spans="1:78" x14ac:dyDescent="0.3">
      <c r="J108" s="105">
        <f>J107*12</f>
        <v>1997159792.6399999</v>
      </c>
      <c r="L108" s="767"/>
      <c r="M108" s="1053"/>
      <c r="AA108" s="725"/>
      <c r="AI108" s="726"/>
      <c r="AJ108" s="727"/>
    </row>
    <row r="109" spans="1:78" s="783" customFormat="1" ht="23.4" x14ac:dyDescent="0.45">
      <c r="A109" s="770"/>
      <c r="B109" s="771"/>
      <c r="C109" s="772"/>
      <c r="D109" s="772" t="s">
        <v>1109</v>
      </c>
      <c r="E109" s="1024"/>
      <c r="F109" s="772" t="s">
        <v>1110</v>
      </c>
      <c r="G109" s="1035"/>
      <c r="H109" s="772"/>
      <c r="I109" s="1046"/>
      <c r="J109" s="773"/>
      <c r="K109" s="1046"/>
      <c r="L109" s="774"/>
      <c r="M109" s="1054"/>
      <c r="N109" s="775"/>
      <c r="O109" s="772"/>
      <c r="P109" s="772"/>
      <c r="Q109" s="773"/>
      <c r="R109" s="775"/>
      <c r="S109" s="772"/>
      <c r="T109" s="776"/>
      <c r="U109" s="775"/>
      <c r="V109" s="772"/>
      <c r="W109" s="777"/>
      <c r="X109" s="772"/>
      <c r="Y109" s="772"/>
      <c r="Z109" s="1035"/>
      <c r="AA109" s="778"/>
      <c r="AB109" s="779"/>
      <c r="AC109" s="779"/>
      <c r="AD109" s="779"/>
      <c r="AE109" s="779"/>
      <c r="AF109" s="779"/>
      <c r="AG109" s="779"/>
      <c r="AH109" s="779"/>
      <c r="AI109" s="780"/>
      <c r="AJ109" s="781"/>
      <c r="AK109" s="782"/>
      <c r="AT109" s="784"/>
      <c r="BB109" s="784"/>
      <c r="BJ109" s="784"/>
      <c r="BR109" s="785"/>
      <c r="BZ109" s="786"/>
    </row>
    <row r="110" spans="1:78" ht="16.2" thickBot="1" x14ac:dyDescent="0.35">
      <c r="L110" s="724"/>
      <c r="M110" s="1052"/>
      <c r="Y110" s="787"/>
      <c r="Z110" s="1165"/>
      <c r="AA110" s="725"/>
      <c r="AI110" s="726"/>
      <c r="AJ110" s="727"/>
    </row>
    <row r="111" spans="1:78" ht="16.2" thickBot="1" x14ac:dyDescent="0.35">
      <c r="D111" s="788">
        <f>'[1]POP Dimensions'!L17</f>
        <v>2748779069.4400001</v>
      </c>
      <c r="E111" s="947" t="s">
        <v>1036</v>
      </c>
      <c r="F111" s="693" t="s">
        <v>1037</v>
      </c>
      <c r="G111" s="947" t="s">
        <v>1111</v>
      </c>
      <c r="H111" s="693" t="s">
        <v>1112</v>
      </c>
      <c r="I111" s="947" t="s">
        <v>1113</v>
      </c>
      <c r="J111" s="315" t="s">
        <v>1114</v>
      </c>
      <c r="L111" s="724" t="s">
        <v>1112</v>
      </c>
      <c r="M111" s="1052"/>
      <c r="N111" s="789"/>
      <c r="O111" s="693"/>
      <c r="P111" s="693" t="s">
        <v>1112</v>
      </c>
      <c r="Q111" s="315" t="s">
        <v>1115</v>
      </c>
      <c r="R111" s="789" t="s">
        <v>1113</v>
      </c>
      <c r="S111" s="693" t="s">
        <v>1116</v>
      </c>
      <c r="U111" s="789"/>
      <c r="V111" s="693" t="s">
        <v>1117</v>
      </c>
      <c r="W111" s="80" t="s">
        <v>684</v>
      </c>
      <c r="X111" s="693"/>
      <c r="Y111" s="790" t="s">
        <v>1118</v>
      </c>
      <c r="Z111" s="1166" t="s">
        <v>1112</v>
      </c>
      <c r="AA111" s="725"/>
      <c r="AC111" s="695" t="s">
        <v>1228</v>
      </c>
      <c r="AI111" s="726"/>
      <c r="AJ111" s="727"/>
      <c r="AL111" s="315">
        <v>1</v>
      </c>
      <c r="AM111" s="315">
        <f>AL111+1</f>
        <v>2</v>
      </c>
      <c r="AN111" s="315">
        <f t="shared" ref="AN111:BQ111" si="26">AM111+1</f>
        <v>3</v>
      </c>
      <c r="AO111" s="315">
        <f t="shared" si="26"/>
        <v>4</v>
      </c>
      <c r="AP111" s="315">
        <f t="shared" si="26"/>
        <v>5</v>
      </c>
      <c r="AQ111" s="315">
        <f t="shared" si="26"/>
        <v>6</v>
      </c>
      <c r="AR111" s="315">
        <f t="shared" si="26"/>
        <v>7</v>
      </c>
      <c r="AS111" s="315">
        <f t="shared" si="26"/>
        <v>8</v>
      </c>
      <c r="AT111" s="791">
        <f t="shared" si="26"/>
        <v>9</v>
      </c>
      <c r="AU111" s="41">
        <f t="shared" si="26"/>
        <v>10</v>
      </c>
      <c r="AV111" s="41">
        <f t="shared" si="26"/>
        <v>11</v>
      </c>
      <c r="AW111" s="41">
        <f t="shared" si="26"/>
        <v>12</v>
      </c>
      <c r="AX111" s="41">
        <f t="shared" si="26"/>
        <v>13</v>
      </c>
      <c r="AY111" s="41">
        <f t="shared" si="26"/>
        <v>14</v>
      </c>
      <c r="AZ111" s="41">
        <f t="shared" si="26"/>
        <v>15</v>
      </c>
      <c r="BA111" s="41">
        <f t="shared" si="26"/>
        <v>16</v>
      </c>
      <c r="BB111" s="791">
        <f t="shared" si="26"/>
        <v>17</v>
      </c>
      <c r="BC111" s="41">
        <f t="shared" si="26"/>
        <v>18</v>
      </c>
      <c r="BD111" s="41">
        <f t="shared" si="26"/>
        <v>19</v>
      </c>
      <c r="BE111" s="41">
        <f t="shared" si="26"/>
        <v>20</v>
      </c>
      <c r="BF111" s="41">
        <f t="shared" si="26"/>
        <v>21</v>
      </c>
      <c r="BG111" s="41">
        <f t="shared" si="26"/>
        <v>22</v>
      </c>
      <c r="BH111" s="41">
        <f t="shared" si="26"/>
        <v>23</v>
      </c>
      <c r="BI111" s="41">
        <f t="shared" si="26"/>
        <v>24</v>
      </c>
      <c r="BJ111" s="791">
        <f t="shared" si="26"/>
        <v>25</v>
      </c>
      <c r="BK111" s="41">
        <f t="shared" si="26"/>
        <v>26</v>
      </c>
      <c r="BL111" s="41">
        <f t="shared" si="26"/>
        <v>27</v>
      </c>
      <c r="BM111" s="41">
        <f t="shared" si="26"/>
        <v>28</v>
      </c>
      <c r="BN111" s="41">
        <f t="shared" si="26"/>
        <v>29</v>
      </c>
      <c r="BO111" s="41">
        <f t="shared" si="26"/>
        <v>30</v>
      </c>
      <c r="BP111" s="41">
        <f t="shared" si="26"/>
        <v>31</v>
      </c>
      <c r="BQ111" s="41">
        <f t="shared" si="26"/>
        <v>32</v>
      </c>
      <c r="BR111" s="422"/>
    </row>
    <row r="112" spans="1:78" ht="16.2" thickBot="1" x14ac:dyDescent="0.35">
      <c r="C112" s="695"/>
      <c r="D112" s="695">
        <v>128</v>
      </c>
      <c r="F112" s="693" t="s">
        <v>1112</v>
      </c>
      <c r="G112" s="947" t="s">
        <v>1119</v>
      </c>
      <c r="H112" s="693" t="s">
        <v>1120</v>
      </c>
      <c r="I112" s="947" t="s">
        <v>297</v>
      </c>
      <c r="J112" s="315" t="s">
        <v>1121</v>
      </c>
      <c r="L112" s="724" t="s">
        <v>1122</v>
      </c>
      <c r="M112" s="1052"/>
      <c r="N112" s="789"/>
      <c r="O112" s="693"/>
      <c r="P112" s="693"/>
      <c r="Q112" s="315" t="s">
        <v>1123</v>
      </c>
      <c r="R112" s="789" t="s">
        <v>297</v>
      </c>
      <c r="S112" s="693" t="s">
        <v>1124</v>
      </c>
      <c r="U112" s="789"/>
      <c r="V112" s="693" t="s">
        <v>1125</v>
      </c>
      <c r="W112" s="792" t="s">
        <v>1126</v>
      </c>
      <c r="X112" s="693"/>
      <c r="Y112" s="790" t="s">
        <v>1127</v>
      </c>
      <c r="Z112" s="1166" t="s">
        <v>1128</v>
      </c>
      <c r="AA112" s="725"/>
      <c r="AC112" s="695" t="s">
        <v>1227</v>
      </c>
      <c r="AI112" s="726"/>
      <c r="AJ112" s="727"/>
      <c r="AL112" s="793" t="str">
        <f>F10</f>
        <v>Property Developer &amp; Labour</v>
      </c>
      <c r="AM112" s="793"/>
      <c r="AN112" s="693" t="str">
        <f>F12</f>
        <v>Interiors / Shop Fitting / Kitchens / Bathrooms</v>
      </c>
      <c r="AO112" s="793"/>
      <c r="AP112" s="794"/>
      <c r="AQ112" s="794"/>
      <c r="AR112" s="794"/>
      <c r="AS112" s="794"/>
      <c r="AT112" s="795"/>
      <c r="AU112" s="794"/>
      <c r="AV112" s="794"/>
      <c r="AW112" s="794"/>
      <c r="AX112" s="794"/>
      <c r="AY112" s="794"/>
      <c r="AZ112" s="794"/>
      <c r="BA112" s="794"/>
      <c r="BB112" s="795"/>
      <c r="BC112" s="794"/>
      <c r="BD112" s="794"/>
      <c r="BE112" s="794"/>
      <c r="BF112" s="794"/>
      <c r="BG112" s="794"/>
      <c r="BH112" s="794"/>
      <c r="BI112" s="794"/>
      <c r="BJ112" s="795"/>
      <c r="BK112" s="794"/>
      <c r="BL112" s="794"/>
      <c r="BM112" s="794"/>
      <c r="BN112" s="794"/>
      <c r="BO112" s="794"/>
      <c r="BP112" s="794"/>
      <c r="BQ112" s="794"/>
    </row>
    <row r="113" spans="1:78" x14ac:dyDescent="0.3">
      <c r="C113" s="695"/>
      <c r="D113" s="796">
        <f>D111/D112</f>
        <v>21474836.48</v>
      </c>
      <c r="G113" s="947" t="s">
        <v>1115</v>
      </c>
      <c r="H113" s="693"/>
      <c r="I113" s="1047">
        <v>1</v>
      </c>
      <c r="J113" s="315" t="s">
        <v>1129</v>
      </c>
      <c r="L113" s="724"/>
      <c r="M113" s="1052"/>
      <c r="N113" s="789"/>
      <c r="O113" s="693"/>
      <c r="P113" s="693"/>
      <c r="Q113" s="315"/>
      <c r="R113" s="797">
        <v>1</v>
      </c>
      <c r="S113" s="693" t="s">
        <v>1123</v>
      </c>
      <c r="U113" s="789"/>
      <c r="V113" s="693" t="s">
        <v>1130</v>
      </c>
      <c r="W113" s="792" t="s">
        <v>59</v>
      </c>
      <c r="X113" s="693"/>
      <c r="Y113" s="790" t="s">
        <v>1112</v>
      </c>
      <c r="Z113" s="1167"/>
      <c r="AA113" s="798" t="s">
        <v>1131</v>
      </c>
      <c r="AI113" s="799"/>
      <c r="AJ113" s="727"/>
      <c r="AL113" s="693"/>
      <c r="AM113" s="693" t="str">
        <f>F11</f>
        <v>Building Supplies (Manufactured)</v>
      </c>
      <c r="AN113" s="693"/>
      <c r="AO113" s="693" t="str">
        <f>F13</f>
        <v xml:space="preserve">Electronics / Computers </v>
      </c>
    </row>
    <row r="114" spans="1:78" ht="18.600000000000001" x14ac:dyDescent="0.45">
      <c r="A114" s="800"/>
      <c r="B114" s="730"/>
      <c r="C114" s="730"/>
      <c r="D114" s="730">
        <f>D113</f>
        <v>21474836.48</v>
      </c>
      <c r="E114" s="1011">
        <v>1</v>
      </c>
      <c r="F114" s="703" t="s">
        <v>1132</v>
      </c>
      <c r="G114" s="1027">
        <v>1</v>
      </c>
      <c r="H114" s="703">
        <f>D114*G114</f>
        <v>21474836.48</v>
      </c>
      <c r="I114" s="1037">
        <f>I113</f>
        <v>1</v>
      </c>
      <c r="J114" s="708">
        <f>H114*I114</f>
        <v>21474836.48</v>
      </c>
      <c r="K114" s="1064">
        <v>20</v>
      </c>
      <c r="L114" s="801" t="str">
        <f>F36</f>
        <v xml:space="preserve">Building Industry / Factories / Machinery </v>
      </c>
      <c r="M114" s="1055"/>
      <c r="N114" s="1170"/>
      <c r="O114" s="714" t="s">
        <v>1133</v>
      </c>
      <c r="P114" s="1049">
        <f>K114</f>
        <v>20</v>
      </c>
      <c r="Q114" s="802">
        <f>G36</f>
        <v>16</v>
      </c>
      <c r="R114" s="803">
        <f>R113</f>
        <v>1</v>
      </c>
      <c r="S114" s="714" t="s">
        <v>1116</v>
      </c>
      <c r="T114" s="714" t="s">
        <v>1134</v>
      </c>
      <c r="U114" s="804"/>
      <c r="V114" s="714" t="s">
        <v>1135</v>
      </c>
      <c r="W114" s="805" t="s">
        <v>684</v>
      </c>
      <c r="X114" s="714"/>
      <c r="Y114" s="714" t="s">
        <v>1136</v>
      </c>
      <c r="Z114" s="1135" t="s">
        <v>1036</v>
      </c>
      <c r="AA114" s="806">
        <f>AI211</f>
        <v>0.66162500000000002</v>
      </c>
      <c r="AB114" s="807"/>
      <c r="AC114" s="703" t="s">
        <v>1137</v>
      </c>
      <c r="AD114" s="703" t="s">
        <v>1138</v>
      </c>
      <c r="AE114" s="703" t="s">
        <v>1139</v>
      </c>
      <c r="AF114" s="703" t="s">
        <v>1140</v>
      </c>
      <c r="AG114" s="703" t="s">
        <v>1141</v>
      </c>
      <c r="AH114" s="703" t="s">
        <v>148</v>
      </c>
      <c r="AI114" s="808"/>
      <c r="AJ114" s="809"/>
      <c r="AL114" s="693"/>
      <c r="AM114" s="693"/>
      <c r="AN114" s="693"/>
      <c r="AO114" s="693"/>
      <c r="AP114" s="693"/>
      <c r="AQ114" s="693"/>
      <c r="AR114" s="693"/>
      <c r="AS114" s="693"/>
    </row>
    <row r="115" spans="1:78" s="794" customFormat="1" ht="16.8" x14ac:dyDescent="0.4">
      <c r="A115" s="695"/>
      <c r="B115" s="810"/>
      <c r="C115" s="723"/>
      <c r="D115" s="723"/>
      <c r="E115" s="1025"/>
      <c r="F115" s="695"/>
      <c r="G115" s="1025"/>
      <c r="H115" s="695"/>
      <c r="I115" s="989"/>
      <c r="J115" s="734">
        <f>J114</f>
        <v>21474836.48</v>
      </c>
      <c r="K115" s="989"/>
      <c r="L115" s="811" t="s">
        <v>1142</v>
      </c>
      <c r="M115" s="1052">
        <f>Z115</f>
        <v>10</v>
      </c>
      <c r="N115" s="1171">
        <v>0.125</v>
      </c>
      <c r="O115" s="732">
        <f>J115*N115</f>
        <v>2684354.5600000001</v>
      </c>
      <c r="P115" s="732"/>
      <c r="Q115" s="733">
        <f>Q114</f>
        <v>16</v>
      </c>
      <c r="R115" s="812">
        <f>R114</f>
        <v>1</v>
      </c>
      <c r="S115" s="732">
        <f>O115*Q115*R115</f>
        <v>42949672.960000001</v>
      </c>
      <c r="T115" s="744" t="s">
        <v>1143</v>
      </c>
      <c r="U115" s="812">
        <v>0.25</v>
      </c>
      <c r="V115" s="732">
        <f>S115*U115</f>
        <v>10737418.24</v>
      </c>
      <c r="W115" s="813">
        <f>N115*U115</f>
        <v>3.125E-2</v>
      </c>
      <c r="X115" s="732" t="s">
        <v>1144</v>
      </c>
      <c r="Y115" s="732" t="s">
        <v>1054</v>
      </c>
      <c r="Z115" s="1168">
        <v>10</v>
      </c>
      <c r="AA115" s="814"/>
      <c r="AB115" s="748"/>
      <c r="AC115" s="695">
        <f>V115</f>
        <v>10737418.24</v>
      </c>
      <c r="AD115" s="695"/>
      <c r="AE115" s="695"/>
      <c r="AF115" s="695"/>
      <c r="AG115" s="695"/>
      <c r="AH115" s="695"/>
      <c r="AI115" s="815"/>
      <c r="AJ115" s="816"/>
      <c r="AK115" s="817"/>
      <c r="AT115" s="795"/>
      <c r="BB115" s="795"/>
      <c r="BJ115" s="795"/>
      <c r="BR115" s="691"/>
      <c r="BZ115" s="818"/>
    </row>
    <row r="116" spans="1:78" x14ac:dyDescent="0.3">
      <c r="B116" s="722"/>
      <c r="C116" s="723"/>
      <c r="D116" s="723"/>
      <c r="I116" s="1044"/>
      <c r="J116" s="84"/>
      <c r="K116" s="1044"/>
      <c r="L116" s="819"/>
      <c r="M116" s="1052" t="str">
        <f t="shared" ref="M116:M119" si="27">Z116</f>
        <v>0A</v>
      </c>
      <c r="N116" s="95">
        <f>N115</f>
        <v>0.125</v>
      </c>
      <c r="O116" s="765"/>
      <c r="P116" s="821"/>
      <c r="Q116" s="822"/>
      <c r="R116" s="95"/>
      <c r="S116" s="765">
        <f>S115</f>
        <v>42949672.960000001</v>
      </c>
      <c r="T116" s="823" t="s">
        <v>1044</v>
      </c>
      <c r="U116" s="95">
        <v>0</v>
      </c>
      <c r="V116" s="765">
        <f t="shared" ref="V116:V119" si="28">S116*U116</f>
        <v>0</v>
      </c>
      <c r="W116" s="824">
        <f>N116*U116</f>
        <v>0</v>
      </c>
      <c r="X116" s="765" t="s">
        <v>1144</v>
      </c>
      <c r="Y116" s="825" t="s">
        <v>1044</v>
      </c>
      <c r="Z116" s="1166" t="s">
        <v>1041</v>
      </c>
      <c r="AA116" s="725"/>
      <c r="AC116" s="695">
        <f>V116</f>
        <v>0</v>
      </c>
      <c r="AI116" s="826"/>
      <c r="AJ116" s="727"/>
    </row>
    <row r="117" spans="1:78" x14ac:dyDescent="0.3">
      <c r="B117" s="722"/>
      <c r="C117" s="723"/>
      <c r="D117" s="723"/>
      <c r="I117" s="1044"/>
      <c r="J117" s="84"/>
      <c r="K117" s="1044"/>
      <c r="L117" s="819"/>
      <c r="M117" s="1052">
        <f t="shared" si="27"/>
        <v>1</v>
      </c>
      <c r="N117" s="95">
        <f>N116</f>
        <v>0.125</v>
      </c>
      <c r="O117" s="765"/>
      <c r="P117" s="821"/>
      <c r="Q117" s="822"/>
      <c r="R117" s="95"/>
      <c r="S117" s="765">
        <f>S116</f>
        <v>42949672.960000001</v>
      </c>
      <c r="T117" s="823" t="s">
        <v>1145</v>
      </c>
      <c r="U117" s="95">
        <v>0.4</v>
      </c>
      <c r="V117" s="765">
        <f t="shared" si="28"/>
        <v>17179869.184</v>
      </c>
      <c r="W117" s="824">
        <f>N117*U117</f>
        <v>0.05</v>
      </c>
      <c r="X117" s="765" t="s">
        <v>1144</v>
      </c>
      <c r="Y117" s="732" t="s">
        <v>1045</v>
      </c>
      <c r="Z117" s="1166">
        <v>1</v>
      </c>
      <c r="AA117" s="725"/>
      <c r="AC117" s="695">
        <f>V117</f>
        <v>17179869.184</v>
      </c>
      <c r="AI117" s="826"/>
      <c r="AJ117" s="727"/>
      <c r="AL117" s="693">
        <f>V117</f>
        <v>17179869.184</v>
      </c>
      <c r="AM117" s="693"/>
      <c r="AO117" s="693"/>
    </row>
    <row r="118" spans="1:78" x14ac:dyDescent="0.3">
      <c r="B118" s="722"/>
      <c r="C118" s="723"/>
      <c r="D118" s="723"/>
      <c r="I118" s="1044"/>
      <c r="J118" s="84"/>
      <c r="K118" s="1044"/>
      <c r="L118" s="819"/>
      <c r="M118" s="1052">
        <f t="shared" si="27"/>
        <v>6</v>
      </c>
      <c r="N118" s="95">
        <f t="shared" ref="N118:N119" si="29">N117</f>
        <v>0.125</v>
      </c>
      <c r="O118" s="765"/>
      <c r="P118" s="821"/>
      <c r="Q118" s="822"/>
      <c r="R118" s="95"/>
      <c r="S118" s="765">
        <f>S117</f>
        <v>42949672.960000001</v>
      </c>
      <c r="T118" s="823" t="s">
        <v>1146</v>
      </c>
      <c r="U118" s="95">
        <v>0.1</v>
      </c>
      <c r="V118" s="765">
        <f t="shared" si="28"/>
        <v>4294967.2960000001</v>
      </c>
      <c r="W118" s="824">
        <f>N118*U118</f>
        <v>1.2500000000000001E-2</v>
      </c>
      <c r="X118" s="765" t="s">
        <v>1144</v>
      </c>
      <c r="Y118" s="732" t="s">
        <v>1050</v>
      </c>
      <c r="Z118" s="1166">
        <v>6</v>
      </c>
      <c r="AA118" s="725"/>
      <c r="AC118" s="695">
        <f>V118</f>
        <v>4294967.2960000001</v>
      </c>
      <c r="AI118" s="826"/>
      <c r="AJ118" s="727"/>
      <c r="AL118" s="693"/>
      <c r="AM118" s="693"/>
      <c r="AN118" s="693"/>
    </row>
    <row r="119" spans="1:78" x14ac:dyDescent="0.3">
      <c r="B119" s="722"/>
      <c r="C119" s="723"/>
      <c r="D119" s="723"/>
      <c r="I119" s="1044"/>
      <c r="J119" s="84"/>
      <c r="K119" s="1044"/>
      <c r="L119" s="819"/>
      <c r="M119" s="1052">
        <f t="shared" si="27"/>
        <v>32</v>
      </c>
      <c r="N119" s="95">
        <f t="shared" si="29"/>
        <v>0.125</v>
      </c>
      <c r="O119" s="765"/>
      <c r="P119" s="821"/>
      <c r="Q119" s="822"/>
      <c r="R119" s="95"/>
      <c r="S119" s="765">
        <f>S118</f>
        <v>42949672.960000001</v>
      </c>
      <c r="T119" s="823" t="s">
        <v>148</v>
      </c>
      <c r="U119" s="95">
        <v>0.25</v>
      </c>
      <c r="V119" s="765">
        <f t="shared" si="28"/>
        <v>10737418.24</v>
      </c>
      <c r="W119" s="824">
        <f>N119*U119</f>
        <v>3.125E-2</v>
      </c>
      <c r="X119" s="765" t="s">
        <v>1144</v>
      </c>
      <c r="Y119" s="765" t="s">
        <v>148</v>
      </c>
      <c r="Z119" s="1166">
        <v>32</v>
      </c>
      <c r="AA119" s="725"/>
      <c r="AE119" s="695">
        <f>V119</f>
        <v>10737418.24</v>
      </c>
      <c r="AH119" s="695">
        <f>V119</f>
        <v>10737418.24</v>
      </c>
      <c r="AI119" s="826"/>
      <c r="AJ119" s="727"/>
    </row>
    <row r="120" spans="1:78" ht="16.2" thickBot="1" x14ac:dyDescent="0.35">
      <c r="B120" s="722"/>
      <c r="C120" s="723"/>
      <c r="D120" s="723"/>
      <c r="I120" s="1044"/>
      <c r="J120" s="84"/>
      <c r="K120" s="1044"/>
      <c r="L120" s="819"/>
      <c r="M120" s="1056"/>
      <c r="N120" s="95"/>
      <c r="O120" s="765"/>
      <c r="P120" s="821"/>
      <c r="Q120" s="822"/>
      <c r="R120" s="95"/>
      <c r="S120" s="765"/>
      <c r="T120" s="823"/>
      <c r="U120" s="827">
        <f>SUM(U114:U119)</f>
        <v>1</v>
      </c>
      <c r="V120" s="765"/>
      <c r="W120" s="824"/>
      <c r="X120" s="765"/>
      <c r="Y120" s="765"/>
      <c r="Z120" s="1166"/>
      <c r="AA120" s="725"/>
      <c r="AI120" s="826"/>
      <c r="AJ120" s="727"/>
    </row>
    <row r="121" spans="1:78" ht="7.95" customHeight="1" x14ac:dyDescent="0.3">
      <c r="B121" s="722"/>
      <c r="C121" s="723"/>
      <c r="D121" s="723"/>
      <c r="I121" s="1044"/>
      <c r="J121" s="84"/>
      <c r="K121" s="1044"/>
      <c r="L121" s="724"/>
      <c r="M121" s="1052"/>
      <c r="N121" s="95"/>
      <c r="O121" s="765"/>
      <c r="P121" s="821"/>
      <c r="Q121" s="822"/>
      <c r="R121" s="95"/>
      <c r="S121" s="765"/>
      <c r="T121" s="823"/>
      <c r="U121" s="95"/>
      <c r="V121" s="765"/>
      <c r="W121" s="824"/>
      <c r="X121" s="765"/>
      <c r="Y121" s="765"/>
      <c r="Z121" s="1166"/>
      <c r="AA121" s="725"/>
      <c r="AI121" s="826"/>
      <c r="AJ121" s="727"/>
    </row>
    <row r="122" spans="1:78" ht="16.8" x14ac:dyDescent="0.4">
      <c r="B122" s="722"/>
      <c r="C122" s="723"/>
      <c r="D122" s="723"/>
      <c r="I122" s="1044"/>
      <c r="J122" s="84">
        <f>J115</f>
        <v>21474836.48</v>
      </c>
      <c r="K122" s="1044"/>
      <c r="L122" s="724" t="s">
        <v>1147</v>
      </c>
      <c r="M122" s="1052">
        <f t="shared" ref="M122:M123" si="30">Z122</f>
        <v>2</v>
      </c>
      <c r="N122" s="1172">
        <v>0.02</v>
      </c>
      <c r="O122" s="765">
        <f>J122*N122</f>
        <v>429496.72960000002</v>
      </c>
      <c r="P122" s="821"/>
      <c r="Q122" s="822">
        <f>Q115</f>
        <v>16</v>
      </c>
      <c r="R122" s="95">
        <f>R115</f>
        <v>1</v>
      </c>
      <c r="S122" s="732">
        <f>O122*Q122*R122</f>
        <v>6871947.6736000003</v>
      </c>
      <c r="T122" s="823" t="s">
        <v>1148</v>
      </c>
      <c r="U122" s="95">
        <v>0.9</v>
      </c>
      <c r="V122" s="765">
        <f t="shared" ref="V122:V123" si="31">S122*U122</f>
        <v>6184752.9062400004</v>
      </c>
      <c r="W122" s="824">
        <f>N122*U122</f>
        <v>1.8000000000000002E-2</v>
      </c>
      <c r="X122" s="765" t="s">
        <v>1144</v>
      </c>
      <c r="Y122" s="765" t="s">
        <v>1046</v>
      </c>
      <c r="Z122" s="1166">
        <v>2</v>
      </c>
      <c r="AA122" s="725"/>
      <c r="AG122" s="695">
        <f>V122</f>
        <v>6184752.9062400004</v>
      </c>
      <c r="AI122" s="826"/>
      <c r="AJ122" s="727"/>
    </row>
    <row r="123" spans="1:78" x14ac:dyDescent="0.3">
      <c r="B123" s="722"/>
      <c r="C123" s="723"/>
      <c r="D123" s="723"/>
      <c r="I123" s="1044"/>
      <c r="J123" s="84"/>
      <c r="K123" s="1044"/>
      <c r="L123" s="724" t="s">
        <v>1149</v>
      </c>
      <c r="M123" s="1052">
        <f t="shared" si="30"/>
        <v>23</v>
      </c>
      <c r="N123" s="95">
        <f>N122</f>
        <v>0.02</v>
      </c>
      <c r="O123" s="765"/>
      <c r="P123" s="821"/>
      <c r="Q123" s="822"/>
      <c r="R123" s="95"/>
      <c r="S123" s="765">
        <f>S122</f>
        <v>6871947.6736000003</v>
      </c>
      <c r="T123" s="823" t="s">
        <v>1150</v>
      </c>
      <c r="U123" s="95">
        <v>0.1</v>
      </c>
      <c r="V123" s="765">
        <f t="shared" si="31"/>
        <v>687194.76736000006</v>
      </c>
      <c r="W123" s="824">
        <f>N123*U123</f>
        <v>2E-3</v>
      </c>
      <c r="X123" s="765" t="s">
        <v>1144</v>
      </c>
      <c r="Y123" s="828" t="s">
        <v>1151</v>
      </c>
      <c r="Z123" s="1166">
        <v>23</v>
      </c>
      <c r="AA123" s="725"/>
      <c r="AG123" s="695">
        <f>V123</f>
        <v>687194.76736000006</v>
      </c>
      <c r="AI123" s="826"/>
      <c r="AJ123" s="727"/>
    </row>
    <row r="124" spans="1:78" ht="16.2" thickBot="1" x14ac:dyDescent="0.35">
      <c r="B124" s="722"/>
      <c r="C124" s="723"/>
      <c r="D124" s="723"/>
      <c r="I124" s="1044"/>
      <c r="J124" s="84"/>
      <c r="K124" s="1044"/>
      <c r="L124" s="724"/>
      <c r="M124" s="1052"/>
      <c r="N124" s="95"/>
      <c r="O124" s="765"/>
      <c r="P124" s="821"/>
      <c r="Q124" s="822"/>
      <c r="R124" s="95"/>
      <c r="S124" s="765"/>
      <c r="T124" s="823"/>
      <c r="U124" s="827">
        <f>SUM(U122:U123)</f>
        <v>1</v>
      </c>
      <c r="V124" s="765"/>
      <c r="W124" s="824"/>
      <c r="X124" s="765" t="s">
        <v>1144</v>
      </c>
      <c r="Y124" s="765"/>
      <c r="Z124" s="1166"/>
      <c r="AA124" s="725"/>
      <c r="AI124" s="826"/>
      <c r="AJ124" s="727"/>
    </row>
    <row r="125" spans="1:78" ht="7.95" customHeight="1" x14ac:dyDescent="0.3">
      <c r="B125" s="722"/>
      <c r="C125" s="723"/>
      <c r="D125" s="723"/>
      <c r="I125" s="1044"/>
      <c r="J125" s="84"/>
      <c r="K125" s="1044"/>
      <c r="L125" s="724"/>
      <c r="M125" s="1052"/>
      <c r="N125" s="95"/>
      <c r="O125" s="765"/>
      <c r="P125" s="821"/>
      <c r="Q125" s="822"/>
      <c r="R125" s="95"/>
      <c r="S125" s="765"/>
      <c r="T125" s="823"/>
      <c r="U125" s="95"/>
      <c r="V125" s="765"/>
      <c r="W125" s="824"/>
      <c r="X125" s="765"/>
      <c r="Y125" s="765"/>
      <c r="Z125" s="1166"/>
      <c r="AA125" s="725"/>
      <c r="AI125" s="826"/>
      <c r="AJ125" s="727"/>
    </row>
    <row r="126" spans="1:78" ht="17.399999999999999" thickBot="1" x14ac:dyDescent="0.45">
      <c r="B126" s="722"/>
      <c r="C126" s="723"/>
      <c r="D126" s="723"/>
      <c r="I126" s="1044"/>
      <c r="J126" s="84">
        <f>J122</f>
        <v>21474836.48</v>
      </c>
      <c r="K126" s="1044"/>
      <c r="L126" s="724" t="s">
        <v>1152</v>
      </c>
      <c r="M126" s="1052">
        <f t="shared" ref="M126" si="32">Z126</f>
        <v>29</v>
      </c>
      <c r="N126" s="1172">
        <v>5.0000000000000001E-3</v>
      </c>
      <c r="O126" s="765">
        <f>J126*N126</f>
        <v>107374.18240000001</v>
      </c>
      <c r="P126" s="821"/>
      <c r="Q126" s="822">
        <f>Q122</f>
        <v>16</v>
      </c>
      <c r="R126" s="95">
        <f>R122</f>
        <v>1</v>
      </c>
      <c r="S126" s="732">
        <f>O126*Q126*R126</f>
        <v>1717986.9184000001</v>
      </c>
      <c r="T126" s="823" t="s">
        <v>35</v>
      </c>
      <c r="U126" s="827">
        <v>1</v>
      </c>
      <c r="V126" s="765">
        <f t="shared" ref="V126" si="33">S126*U126</f>
        <v>1717986.9184000001</v>
      </c>
      <c r="W126" s="824">
        <f>N126*U126</f>
        <v>5.0000000000000001E-3</v>
      </c>
      <c r="X126" s="765" t="s">
        <v>1144</v>
      </c>
      <c r="Y126" s="765" t="s">
        <v>35</v>
      </c>
      <c r="Z126" s="1166">
        <v>29</v>
      </c>
      <c r="AA126" s="725"/>
      <c r="AF126" s="695">
        <f>V126</f>
        <v>1717986.9184000001</v>
      </c>
      <c r="AI126" s="826"/>
      <c r="AJ126" s="727"/>
    </row>
    <row r="127" spans="1:78" ht="15.6" customHeight="1" x14ac:dyDescent="0.3">
      <c r="B127" s="722"/>
      <c r="C127" s="723"/>
      <c r="D127" s="723"/>
      <c r="I127" s="1044"/>
      <c r="J127" s="84"/>
      <c r="K127" s="1044"/>
      <c r="L127" s="724"/>
      <c r="M127" s="1052"/>
      <c r="N127" s="95"/>
      <c r="O127" s="765"/>
      <c r="P127" s="821"/>
      <c r="Q127" s="822"/>
      <c r="R127" s="95"/>
      <c r="S127" s="765"/>
      <c r="T127" s="823"/>
      <c r="U127" s="95"/>
      <c r="V127" s="765"/>
      <c r="W127" s="824"/>
      <c r="X127" s="765"/>
      <c r="Y127" s="765"/>
      <c r="Z127" s="1166"/>
      <c r="AA127" s="725"/>
      <c r="AI127" s="826"/>
      <c r="AJ127" s="727"/>
    </row>
    <row r="128" spans="1:78" ht="16.8" x14ac:dyDescent="0.4">
      <c r="B128" s="722"/>
      <c r="C128" s="723"/>
      <c r="D128" s="723"/>
      <c r="I128" s="1044"/>
      <c r="J128" s="84">
        <f>J126</f>
        <v>21474836.48</v>
      </c>
      <c r="K128" s="1044"/>
      <c r="L128" s="724" t="s">
        <v>1153</v>
      </c>
      <c r="M128" s="1052">
        <f t="shared" ref="M128" si="34">Z128</f>
        <v>3</v>
      </c>
      <c r="N128" s="1172">
        <v>5.0000000000000001E-3</v>
      </c>
      <c r="O128" s="765">
        <f>J128*N128</f>
        <v>107374.18240000001</v>
      </c>
      <c r="P128" s="821"/>
      <c r="Q128" s="822">
        <f>Q126</f>
        <v>16</v>
      </c>
      <c r="R128" s="95">
        <f>R126</f>
        <v>1</v>
      </c>
      <c r="S128" s="732">
        <f>O128*Q128*R128</f>
        <v>1717986.9184000001</v>
      </c>
      <c r="T128" s="823" t="s">
        <v>1154</v>
      </c>
      <c r="U128" s="95">
        <v>0.9</v>
      </c>
      <c r="V128" s="765">
        <f t="shared" ref="V128:V129" si="35">S128*U128</f>
        <v>1546188.2265600001</v>
      </c>
      <c r="W128" s="824">
        <f>N128*U128</f>
        <v>4.5000000000000005E-3</v>
      </c>
      <c r="X128" s="765" t="s">
        <v>1144</v>
      </c>
      <c r="Y128" s="765" t="s">
        <v>1047</v>
      </c>
      <c r="Z128" s="1166">
        <v>3</v>
      </c>
      <c r="AA128" s="725"/>
      <c r="AE128" s="695">
        <f>V128</f>
        <v>1546188.2265600001</v>
      </c>
      <c r="AI128" s="826"/>
      <c r="AJ128" s="727"/>
    </row>
    <row r="129" spans="2:36" x14ac:dyDescent="0.3">
      <c r="B129" s="722"/>
      <c r="C129" s="723"/>
      <c r="D129" s="723"/>
      <c r="I129" s="1044"/>
      <c r="J129" s="84"/>
      <c r="K129" s="1044"/>
      <c r="L129" s="724" t="s">
        <v>1149</v>
      </c>
      <c r="M129" s="1052"/>
      <c r="N129" s="95">
        <f>N128</f>
        <v>5.0000000000000001E-3</v>
      </c>
      <c r="O129" s="765"/>
      <c r="P129" s="821"/>
      <c r="Q129" s="822"/>
      <c r="R129" s="95"/>
      <c r="S129" s="765">
        <f>S128</f>
        <v>1717986.9184000001</v>
      </c>
      <c r="T129" s="823" t="s">
        <v>1155</v>
      </c>
      <c r="U129" s="95">
        <v>0.1</v>
      </c>
      <c r="V129" s="765">
        <f t="shared" si="35"/>
        <v>171798.69184000001</v>
      </c>
      <c r="W129" s="824">
        <f>N129*U129</f>
        <v>5.0000000000000001E-4</v>
      </c>
      <c r="X129" s="765" t="s">
        <v>1144</v>
      </c>
      <c r="Y129" s="828" t="s">
        <v>1151</v>
      </c>
      <c r="Z129" s="1166">
        <v>2</v>
      </c>
      <c r="AA129" s="725"/>
      <c r="AG129" s="695">
        <f>V129</f>
        <v>171798.69184000001</v>
      </c>
      <c r="AI129" s="826"/>
      <c r="AJ129" s="727"/>
    </row>
    <row r="130" spans="2:36" ht="16.2" thickBot="1" x14ac:dyDescent="0.35">
      <c r="B130" s="722"/>
      <c r="C130" s="723"/>
      <c r="D130" s="723"/>
      <c r="I130" s="1044"/>
      <c r="J130" s="84"/>
      <c r="K130" s="1044"/>
      <c r="L130" s="724"/>
      <c r="M130" s="1052"/>
      <c r="N130" s="95"/>
      <c r="O130" s="765"/>
      <c r="P130" s="821"/>
      <c r="Q130" s="822"/>
      <c r="R130" s="95"/>
      <c r="S130" s="765"/>
      <c r="T130" s="823"/>
      <c r="U130" s="827">
        <f>SUM(U128:U129)</f>
        <v>1</v>
      </c>
      <c r="V130" s="765"/>
      <c r="W130" s="824"/>
      <c r="X130" s="765"/>
      <c r="Y130" s="765"/>
      <c r="Z130" s="1166"/>
      <c r="AA130" s="829" t="s">
        <v>1156</v>
      </c>
      <c r="AB130" s="830"/>
      <c r="AC130" s="831" t="s">
        <v>1137</v>
      </c>
      <c r="AD130" s="831" t="s">
        <v>1138</v>
      </c>
      <c r="AE130" s="831" t="s">
        <v>1139</v>
      </c>
      <c r="AF130" s="831" t="s">
        <v>1140</v>
      </c>
      <c r="AG130" s="831" t="s">
        <v>1141</v>
      </c>
      <c r="AH130" s="831" t="s">
        <v>148</v>
      </c>
      <c r="AI130" s="826"/>
      <c r="AJ130" s="727"/>
    </row>
    <row r="131" spans="2:36" ht="7.95" customHeight="1" x14ac:dyDescent="0.3">
      <c r="B131" s="722"/>
      <c r="C131" s="723"/>
      <c r="D131" s="723"/>
      <c r="I131" s="1044"/>
      <c r="J131" s="84"/>
      <c r="K131" s="1044"/>
      <c r="L131" s="724"/>
      <c r="M131" s="1052"/>
      <c r="N131" s="95"/>
      <c r="O131" s="765"/>
      <c r="P131" s="821"/>
      <c r="Q131" s="822"/>
      <c r="R131" s="95"/>
      <c r="S131" s="765"/>
      <c r="T131" s="823"/>
      <c r="U131" s="95"/>
      <c r="V131" s="765"/>
      <c r="W131" s="824"/>
      <c r="X131" s="765"/>
      <c r="Y131" s="765"/>
      <c r="Z131" s="1166"/>
      <c r="AA131" s="725"/>
      <c r="AI131" s="826"/>
      <c r="AJ131" s="727"/>
    </row>
    <row r="132" spans="2:36" ht="16.8" x14ac:dyDescent="0.4">
      <c r="B132" s="722"/>
      <c r="C132" s="723"/>
      <c r="D132" s="723"/>
      <c r="I132" s="1044"/>
      <c r="J132" s="84">
        <f>J128</f>
        <v>21474836.48</v>
      </c>
      <c r="K132" s="1044"/>
      <c r="L132" s="724" t="s">
        <v>1157</v>
      </c>
      <c r="M132" s="1052">
        <f t="shared" ref="M132:M137" si="36">Z132</f>
        <v>1</v>
      </c>
      <c r="N132" s="1172">
        <v>7.0000000000000007E-2</v>
      </c>
      <c r="O132" s="765">
        <f>J132*N132</f>
        <v>1503238.5536000002</v>
      </c>
      <c r="P132" s="821"/>
      <c r="Q132" s="822">
        <f>Q128</f>
        <v>16</v>
      </c>
      <c r="R132" s="95">
        <f>R128</f>
        <v>1</v>
      </c>
      <c r="S132" s="732">
        <f>O132*Q132*R132</f>
        <v>24051816.857600003</v>
      </c>
      <c r="T132" s="823" t="s">
        <v>1158</v>
      </c>
      <c r="U132" s="95">
        <v>0</v>
      </c>
      <c r="V132" s="765">
        <f t="shared" ref="V132:V137" si="37">S132*U132</f>
        <v>0</v>
      </c>
      <c r="W132" s="824">
        <f t="shared" ref="W132:W137" si="38">N132*U132</f>
        <v>0</v>
      </c>
      <c r="X132" s="765" t="s">
        <v>1144</v>
      </c>
      <c r="Y132" s="732" t="s">
        <v>1045</v>
      </c>
      <c r="Z132" s="1166">
        <v>1</v>
      </c>
      <c r="AA132" s="725"/>
      <c r="AC132" s="695">
        <f t="shared" ref="AC132:AC137" si="39">V132</f>
        <v>0</v>
      </c>
      <c r="AD132" s="748"/>
      <c r="AI132" s="826"/>
      <c r="AJ132" s="727"/>
    </row>
    <row r="133" spans="2:36" x14ac:dyDescent="0.3">
      <c r="B133" s="722"/>
      <c r="C133" s="723"/>
      <c r="D133" s="723"/>
      <c r="I133" s="1044"/>
      <c r="J133" s="84"/>
      <c r="K133" s="1044"/>
      <c r="L133" s="724"/>
      <c r="M133" s="1052">
        <f t="shared" si="36"/>
        <v>1</v>
      </c>
      <c r="N133" s="95">
        <f>N132</f>
        <v>7.0000000000000007E-2</v>
      </c>
      <c r="O133" s="765"/>
      <c r="P133" s="821"/>
      <c r="Q133" s="822"/>
      <c r="R133" s="95"/>
      <c r="S133" s="765">
        <f>S132</f>
        <v>24051816.857600003</v>
      </c>
      <c r="T133" s="823" t="s">
        <v>1159</v>
      </c>
      <c r="U133" s="95">
        <v>0.2</v>
      </c>
      <c r="V133" s="765">
        <f t="shared" si="37"/>
        <v>4810363.3715200005</v>
      </c>
      <c r="W133" s="824">
        <f t="shared" si="38"/>
        <v>1.4000000000000002E-2</v>
      </c>
      <c r="X133" s="765" t="s">
        <v>1144</v>
      </c>
      <c r="Y133" s="732" t="s">
        <v>1045</v>
      </c>
      <c r="Z133" s="1166">
        <v>1</v>
      </c>
      <c r="AA133" s="725"/>
      <c r="AC133" s="695">
        <f t="shared" si="39"/>
        <v>4810363.3715200005</v>
      </c>
      <c r="AI133" s="826"/>
      <c r="AJ133" s="727"/>
    </row>
    <row r="134" spans="2:36" x14ac:dyDescent="0.3">
      <c r="B134" s="722"/>
      <c r="C134" s="723"/>
      <c r="D134" s="723"/>
      <c r="I134" s="1044"/>
      <c r="J134" s="84"/>
      <c r="K134" s="1044"/>
      <c r="L134" s="724"/>
      <c r="M134" s="1052">
        <f t="shared" si="36"/>
        <v>1</v>
      </c>
      <c r="N134" s="95">
        <f>N133</f>
        <v>7.0000000000000007E-2</v>
      </c>
      <c r="O134" s="765"/>
      <c r="P134" s="821"/>
      <c r="Q134" s="822"/>
      <c r="R134" s="95"/>
      <c r="S134" s="765">
        <f>S133</f>
        <v>24051816.857600003</v>
      </c>
      <c r="T134" s="823" t="s">
        <v>1160</v>
      </c>
      <c r="U134" s="95">
        <v>0.5</v>
      </c>
      <c r="V134" s="765">
        <f t="shared" si="37"/>
        <v>12025908.428800002</v>
      </c>
      <c r="W134" s="824">
        <f t="shared" si="38"/>
        <v>3.5000000000000003E-2</v>
      </c>
      <c r="X134" s="765" t="s">
        <v>1144</v>
      </c>
      <c r="Y134" s="732" t="s">
        <v>1045</v>
      </c>
      <c r="Z134" s="1166">
        <v>1</v>
      </c>
      <c r="AA134" s="725"/>
      <c r="AC134" s="695">
        <f t="shared" si="39"/>
        <v>12025908.428800002</v>
      </c>
      <c r="AI134" s="826"/>
      <c r="AJ134" s="727"/>
    </row>
    <row r="135" spans="2:36" x14ac:dyDescent="0.3">
      <c r="B135" s="722"/>
      <c r="C135" s="723"/>
      <c r="D135" s="723"/>
      <c r="I135" s="1044"/>
      <c r="J135" s="84"/>
      <c r="K135" s="1044"/>
      <c r="L135" s="724"/>
      <c r="M135" s="1052">
        <f t="shared" si="36"/>
        <v>1</v>
      </c>
      <c r="N135" s="95">
        <f>N134</f>
        <v>7.0000000000000007E-2</v>
      </c>
      <c r="O135" s="765"/>
      <c r="P135" s="821"/>
      <c r="Q135" s="822"/>
      <c r="R135" s="95"/>
      <c r="S135" s="765">
        <f>S134</f>
        <v>24051816.857600003</v>
      </c>
      <c r="T135" s="823" t="s">
        <v>1161</v>
      </c>
      <c r="U135" s="95">
        <v>0.05</v>
      </c>
      <c r="V135" s="765">
        <f t="shared" si="37"/>
        <v>1202590.8428800001</v>
      </c>
      <c r="W135" s="824">
        <f t="shared" si="38"/>
        <v>3.5000000000000005E-3</v>
      </c>
      <c r="X135" s="765" t="s">
        <v>1144</v>
      </c>
      <c r="Y135" s="732" t="s">
        <v>1045</v>
      </c>
      <c r="Z135" s="1166">
        <v>1</v>
      </c>
      <c r="AA135" s="725"/>
      <c r="AC135" s="695">
        <f t="shared" si="39"/>
        <v>1202590.8428800001</v>
      </c>
      <c r="AI135" s="826"/>
      <c r="AJ135" s="727"/>
    </row>
    <row r="136" spans="2:36" x14ac:dyDescent="0.3">
      <c r="B136" s="722"/>
      <c r="C136" s="723"/>
      <c r="D136" s="723"/>
      <c r="I136" s="1044"/>
      <c r="J136" s="84"/>
      <c r="K136" s="1044"/>
      <c r="L136" s="724"/>
      <c r="M136" s="1052">
        <f t="shared" si="36"/>
        <v>1</v>
      </c>
      <c r="N136" s="95">
        <f>N135</f>
        <v>7.0000000000000007E-2</v>
      </c>
      <c r="O136" s="765"/>
      <c r="P136" s="821"/>
      <c r="Q136" s="822"/>
      <c r="R136" s="95"/>
      <c r="S136" s="765">
        <f>S135</f>
        <v>24051816.857600003</v>
      </c>
      <c r="T136" s="823" t="s">
        <v>35</v>
      </c>
      <c r="U136" s="95">
        <v>0.15</v>
      </c>
      <c r="V136" s="765">
        <f t="shared" si="37"/>
        <v>3607772.5286400006</v>
      </c>
      <c r="W136" s="824">
        <f t="shared" si="38"/>
        <v>1.0500000000000001E-2</v>
      </c>
      <c r="X136" s="765" t="s">
        <v>1144</v>
      </c>
      <c r="Y136" s="732" t="s">
        <v>1045</v>
      </c>
      <c r="Z136" s="1166">
        <v>1</v>
      </c>
      <c r="AA136" s="725"/>
      <c r="AC136" s="695">
        <f t="shared" si="39"/>
        <v>3607772.5286400006</v>
      </c>
      <c r="AI136" s="826"/>
      <c r="AJ136" s="727"/>
    </row>
    <row r="137" spans="2:36" x14ac:dyDescent="0.3">
      <c r="B137" s="722"/>
      <c r="C137" s="723"/>
      <c r="D137" s="723"/>
      <c r="I137" s="1044"/>
      <c r="J137" s="84"/>
      <c r="K137" s="1044"/>
      <c r="L137" s="724"/>
      <c r="M137" s="1052">
        <f t="shared" si="36"/>
        <v>1</v>
      </c>
      <c r="N137" s="95">
        <f>N135</f>
        <v>7.0000000000000007E-2</v>
      </c>
      <c r="O137" s="765"/>
      <c r="P137" s="821"/>
      <c r="Q137" s="822"/>
      <c r="R137" s="95"/>
      <c r="S137" s="765">
        <f>S136</f>
        <v>24051816.857600003</v>
      </c>
      <c r="T137" s="823" t="s">
        <v>1162</v>
      </c>
      <c r="U137" s="95">
        <v>0.1</v>
      </c>
      <c r="V137" s="765">
        <f t="shared" si="37"/>
        <v>2405181.6857600003</v>
      </c>
      <c r="W137" s="824">
        <f t="shared" si="38"/>
        <v>7.000000000000001E-3</v>
      </c>
      <c r="X137" s="765" t="s">
        <v>1144</v>
      </c>
      <c r="Y137" s="732" t="s">
        <v>1045</v>
      </c>
      <c r="Z137" s="1166">
        <v>1</v>
      </c>
      <c r="AA137" s="725"/>
      <c r="AC137" s="695">
        <f t="shared" si="39"/>
        <v>2405181.6857600003</v>
      </c>
      <c r="AI137" s="826"/>
      <c r="AJ137" s="727"/>
    </row>
    <row r="138" spans="2:36" ht="16.2" thickBot="1" x14ac:dyDescent="0.35">
      <c r="B138" s="722"/>
      <c r="C138" s="723"/>
      <c r="D138" s="723"/>
      <c r="I138" s="1044"/>
      <c r="J138" s="84"/>
      <c r="K138" s="1044"/>
      <c r="L138" s="724"/>
      <c r="M138" s="1052"/>
      <c r="N138" s="95"/>
      <c r="O138" s="765"/>
      <c r="P138" s="821"/>
      <c r="Q138" s="822"/>
      <c r="R138" s="95"/>
      <c r="S138" s="765"/>
      <c r="T138" s="823"/>
      <c r="U138" s="827">
        <f>SUM(U132:U137)</f>
        <v>1</v>
      </c>
      <c r="V138" s="765"/>
      <c r="W138" s="824"/>
      <c r="X138" s="765"/>
      <c r="Y138" s="765"/>
      <c r="Z138" s="1166"/>
      <c r="AA138" s="829" t="s">
        <v>1156</v>
      </c>
      <c r="AB138" s="830"/>
      <c r="AC138" s="831" t="s">
        <v>1137</v>
      </c>
      <c r="AD138" s="831" t="s">
        <v>1138</v>
      </c>
      <c r="AE138" s="831" t="s">
        <v>1139</v>
      </c>
      <c r="AF138" s="831" t="s">
        <v>1140</v>
      </c>
      <c r="AG138" s="831" t="s">
        <v>1141</v>
      </c>
      <c r="AH138" s="831" t="s">
        <v>148</v>
      </c>
      <c r="AI138" s="826"/>
      <c r="AJ138" s="727"/>
    </row>
    <row r="139" spans="2:36" ht="7.95" customHeight="1" x14ac:dyDescent="0.3">
      <c r="B139" s="722"/>
      <c r="C139" s="723"/>
      <c r="D139" s="723"/>
      <c r="I139" s="1044"/>
      <c r="J139" s="84"/>
      <c r="K139" s="1044"/>
      <c r="L139" s="724"/>
      <c r="M139" s="1052"/>
      <c r="N139" s="95"/>
      <c r="O139" s="765"/>
      <c r="P139" s="821"/>
      <c r="Q139" s="822"/>
      <c r="R139" s="95"/>
      <c r="S139" s="765"/>
      <c r="T139" s="823"/>
      <c r="U139" s="95"/>
      <c r="V139" s="765"/>
      <c r="W139" s="824"/>
      <c r="X139" s="765"/>
      <c r="Y139" s="765"/>
      <c r="Z139" s="1166"/>
      <c r="AA139" s="725"/>
      <c r="AI139" s="826"/>
      <c r="AJ139" s="727"/>
    </row>
    <row r="140" spans="2:36" ht="17.399999999999999" thickBot="1" x14ac:dyDescent="0.45">
      <c r="B140" s="722"/>
      <c r="C140" s="723"/>
      <c r="D140" s="723"/>
      <c r="I140" s="1044"/>
      <c r="J140" s="84">
        <f>J132</f>
        <v>21474836.48</v>
      </c>
      <c r="K140" s="1044"/>
      <c r="L140" s="724" t="s">
        <v>1163</v>
      </c>
      <c r="M140" s="1052">
        <f t="shared" ref="M140" si="40">Z140</f>
        <v>20</v>
      </c>
      <c r="N140" s="1172">
        <v>0.25</v>
      </c>
      <c r="O140" s="765">
        <f>J140*N140</f>
        <v>5368709.1200000001</v>
      </c>
      <c r="P140" s="821"/>
      <c r="Q140" s="822">
        <f>Q132</f>
        <v>16</v>
      </c>
      <c r="R140" s="95">
        <f>R132</f>
        <v>1</v>
      </c>
      <c r="S140" s="732">
        <f>O140*Q140*R140</f>
        <v>85899345.920000002</v>
      </c>
      <c r="T140" s="823" t="s">
        <v>1164</v>
      </c>
      <c r="U140" s="827">
        <v>1</v>
      </c>
      <c r="V140" s="765">
        <f t="shared" ref="V140" si="41">S140*U140</f>
        <v>85899345.920000002</v>
      </c>
      <c r="W140" s="824">
        <f>N140*U140</f>
        <v>0.25</v>
      </c>
      <c r="X140" s="765" t="s">
        <v>1144</v>
      </c>
      <c r="Y140" s="765" t="s">
        <v>1070</v>
      </c>
      <c r="Z140" s="1166">
        <v>20</v>
      </c>
      <c r="AA140" s="725"/>
      <c r="AE140" s="695">
        <f>V140</f>
        <v>85899345.920000002</v>
      </c>
      <c r="AI140" s="826"/>
      <c r="AJ140" s="727"/>
    </row>
    <row r="141" spans="2:36" x14ac:dyDescent="0.3">
      <c r="B141" s="722"/>
      <c r="C141" s="723"/>
      <c r="D141" s="723"/>
      <c r="I141" s="1044"/>
      <c r="J141" s="84"/>
      <c r="K141" s="1044"/>
      <c r="L141" s="724"/>
      <c r="M141" s="1052"/>
      <c r="N141" s="1173"/>
      <c r="O141" s="765"/>
      <c r="P141" s="821"/>
      <c r="Q141" s="822"/>
      <c r="R141" s="95"/>
      <c r="S141" s="765"/>
      <c r="T141" s="823"/>
      <c r="U141" s="95"/>
      <c r="V141" s="765"/>
      <c r="W141" s="824"/>
      <c r="X141" s="765"/>
      <c r="Y141" s="765"/>
      <c r="Z141" s="1166"/>
      <c r="AA141" s="725"/>
      <c r="AI141" s="826"/>
      <c r="AJ141" s="727"/>
    </row>
    <row r="142" spans="2:36" ht="17.399999999999999" thickBot="1" x14ac:dyDescent="0.45">
      <c r="B142" s="722"/>
      <c r="C142" s="723"/>
      <c r="D142" s="723"/>
      <c r="I142" s="1044"/>
      <c r="J142" s="84">
        <f>J140</f>
        <v>21474836.48</v>
      </c>
      <c r="K142" s="1044"/>
      <c r="L142" s="724" t="s">
        <v>1165</v>
      </c>
      <c r="M142" s="1052">
        <f t="shared" ref="M142" si="42">Z142</f>
        <v>8</v>
      </c>
      <c r="N142" s="1172">
        <v>0.04</v>
      </c>
      <c r="O142" s="765">
        <f>J142*N142</f>
        <v>858993.45920000004</v>
      </c>
      <c r="P142" s="821"/>
      <c r="Q142" s="822">
        <f>Q140</f>
        <v>16</v>
      </c>
      <c r="R142" s="95">
        <f>R140</f>
        <v>1</v>
      </c>
      <c r="S142" s="732">
        <f>O142*Q142*R142</f>
        <v>13743895.347200001</v>
      </c>
      <c r="T142" s="823" t="s">
        <v>147</v>
      </c>
      <c r="U142" s="827">
        <v>1</v>
      </c>
      <c r="V142" s="765">
        <f t="shared" ref="V142" si="43">S142*U142</f>
        <v>13743895.347200001</v>
      </c>
      <c r="W142" s="824">
        <f>N142*U142</f>
        <v>0.04</v>
      </c>
      <c r="X142" s="765" t="s">
        <v>1144</v>
      </c>
      <c r="Y142" s="690" t="s">
        <v>1052</v>
      </c>
      <c r="Z142" s="1166">
        <v>8</v>
      </c>
      <c r="AA142" s="725"/>
      <c r="AE142" s="695">
        <f>V142</f>
        <v>13743895.347200001</v>
      </c>
      <c r="AI142" s="826"/>
      <c r="AJ142" s="727"/>
    </row>
    <row r="143" spans="2:36" x14ac:dyDescent="0.3">
      <c r="B143" s="722"/>
      <c r="C143" s="723"/>
      <c r="D143" s="723"/>
      <c r="I143" s="1044"/>
      <c r="J143" s="84"/>
      <c r="K143" s="1044"/>
      <c r="L143" s="724"/>
      <c r="M143" s="1052"/>
      <c r="N143" s="1173"/>
      <c r="O143" s="765"/>
      <c r="P143" s="821"/>
      <c r="Q143" s="822"/>
      <c r="R143" s="95"/>
      <c r="S143" s="765"/>
      <c r="T143" s="823"/>
      <c r="U143" s="95"/>
      <c r="V143" s="765"/>
      <c r="W143" s="824"/>
      <c r="X143" s="765"/>
      <c r="Y143" s="765"/>
      <c r="Z143" s="1166"/>
      <c r="AA143" s="725"/>
      <c r="AI143" s="826"/>
      <c r="AJ143" s="727"/>
    </row>
    <row r="144" spans="2:36" ht="17.399999999999999" thickBot="1" x14ac:dyDescent="0.45">
      <c r="B144" s="722"/>
      <c r="C144" s="723"/>
      <c r="D144" s="723"/>
      <c r="I144" s="1044"/>
      <c r="J144" s="84">
        <f>J142</f>
        <v>21474836.48</v>
      </c>
      <c r="K144" s="1044"/>
      <c r="L144" s="724" t="s">
        <v>1166</v>
      </c>
      <c r="M144" s="1052">
        <f t="shared" ref="M144" si="44">Z144</f>
        <v>9</v>
      </c>
      <c r="N144" s="1172">
        <v>0.02</v>
      </c>
      <c r="O144" s="765">
        <f>J144*N144</f>
        <v>429496.72960000002</v>
      </c>
      <c r="P144" s="821"/>
      <c r="Q144" s="822">
        <f>Q142</f>
        <v>16</v>
      </c>
      <c r="R144" s="95">
        <f>R142</f>
        <v>1</v>
      </c>
      <c r="S144" s="732">
        <f>O144*Q144*R144</f>
        <v>6871947.6736000003</v>
      </c>
      <c r="T144" s="823" t="s">
        <v>1167</v>
      </c>
      <c r="U144" s="827">
        <v>1</v>
      </c>
      <c r="V144" s="765">
        <f t="shared" ref="V144" si="45">S144*U144</f>
        <v>6871947.6736000003</v>
      </c>
      <c r="W144" s="824">
        <f>N144*U144</f>
        <v>0.02</v>
      </c>
      <c r="X144" s="765" t="s">
        <v>1144</v>
      </c>
      <c r="Y144" s="732" t="s">
        <v>1053</v>
      </c>
      <c r="Z144" s="1166">
        <v>9</v>
      </c>
      <c r="AA144" s="725"/>
      <c r="AI144" s="826"/>
      <c r="AJ144" s="727"/>
    </row>
    <row r="145" spans="2:36" x14ac:dyDescent="0.3">
      <c r="B145" s="722"/>
      <c r="C145" s="723"/>
      <c r="D145" s="723"/>
      <c r="I145" s="1044"/>
      <c r="J145" s="84"/>
      <c r="K145" s="1044"/>
      <c r="L145" s="724"/>
      <c r="M145" s="1052"/>
      <c r="N145" s="1173"/>
      <c r="O145" s="765"/>
      <c r="P145" s="821"/>
      <c r="Q145" s="822"/>
      <c r="R145" s="95"/>
      <c r="S145" s="765"/>
      <c r="T145" s="823"/>
      <c r="U145" s="95"/>
      <c r="V145" s="765"/>
      <c r="W145" s="824"/>
      <c r="X145" s="765"/>
      <c r="Y145" s="765"/>
      <c r="Z145" s="1166"/>
      <c r="AA145" s="725"/>
      <c r="AI145" s="826"/>
      <c r="AJ145" s="727"/>
    </row>
    <row r="146" spans="2:36" ht="17.399999999999999" thickBot="1" x14ac:dyDescent="0.45">
      <c r="B146" s="722"/>
      <c r="C146" s="723"/>
      <c r="D146" s="723"/>
      <c r="I146" s="1044"/>
      <c r="J146" s="84">
        <f>J144</f>
        <v>21474836.48</v>
      </c>
      <c r="K146" s="1044"/>
      <c r="L146" s="724" t="s">
        <v>1168</v>
      </c>
      <c r="M146" s="1052">
        <f t="shared" ref="M146:M164" si="46">Z146</f>
        <v>12</v>
      </c>
      <c r="N146" s="1172">
        <v>0.01</v>
      </c>
      <c r="O146" s="765">
        <f>J146*N146</f>
        <v>214748.36480000001</v>
      </c>
      <c r="P146" s="821"/>
      <c r="Q146" s="822">
        <f>Q144</f>
        <v>16</v>
      </c>
      <c r="R146" s="95">
        <f>R144</f>
        <v>1</v>
      </c>
      <c r="S146" s="732">
        <f>O146*Q146*R146</f>
        <v>3435973.8368000002</v>
      </c>
      <c r="T146" s="823" t="s">
        <v>1169</v>
      </c>
      <c r="U146" s="827">
        <v>1</v>
      </c>
      <c r="V146" s="765">
        <f t="shared" ref="V146" si="47">S146*U146</f>
        <v>3435973.8368000002</v>
      </c>
      <c r="W146" s="824">
        <f>N146*U146</f>
        <v>0.01</v>
      </c>
      <c r="X146" s="765" t="s">
        <v>1144</v>
      </c>
      <c r="Y146" s="765" t="s">
        <v>1056</v>
      </c>
      <c r="Z146" s="1166">
        <v>12</v>
      </c>
      <c r="AA146" s="725"/>
      <c r="AD146" s="695">
        <f>V146</f>
        <v>3435973.8368000002</v>
      </c>
      <c r="AI146" s="826"/>
      <c r="AJ146" s="727"/>
    </row>
    <row r="147" spans="2:36" x14ac:dyDescent="0.3">
      <c r="B147" s="722"/>
      <c r="C147" s="723"/>
      <c r="D147" s="723"/>
      <c r="I147" s="1044"/>
      <c r="J147" s="84"/>
      <c r="K147" s="1044"/>
      <c r="L147" s="724"/>
      <c r="M147" s="1052"/>
      <c r="N147" s="1173"/>
      <c r="O147" s="765"/>
      <c r="P147" s="821"/>
      <c r="Q147" s="822"/>
      <c r="R147" s="95"/>
      <c r="S147" s="765"/>
      <c r="T147" s="823"/>
      <c r="U147" s="95"/>
      <c r="V147" s="765"/>
      <c r="W147" s="824"/>
      <c r="X147" s="765"/>
      <c r="Y147" s="765"/>
      <c r="Z147" s="1166"/>
      <c r="AA147" s="725"/>
      <c r="AI147" s="826"/>
      <c r="AJ147" s="727"/>
    </row>
    <row r="148" spans="2:36" ht="17.399999999999999" thickBot="1" x14ac:dyDescent="0.45">
      <c r="B148" s="722"/>
      <c r="C148" s="723"/>
      <c r="D148" s="723"/>
      <c r="I148" s="1044"/>
      <c r="J148" s="84">
        <f>J146</f>
        <v>21474836.48</v>
      </c>
      <c r="K148" s="1044"/>
      <c r="L148" s="724" t="s">
        <v>1170</v>
      </c>
      <c r="M148" s="1052">
        <f t="shared" si="46"/>
        <v>18</v>
      </c>
      <c r="N148" s="1172">
        <v>2.5000000000000001E-2</v>
      </c>
      <c r="O148" s="765">
        <f>J148*N148</f>
        <v>536870.91200000001</v>
      </c>
      <c r="P148" s="821"/>
      <c r="Q148" s="822">
        <f>Q146</f>
        <v>16</v>
      </c>
      <c r="R148" s="95">
        <f>R146</f>
        <v>1</v>
      </c>
      <c r="S148" s="732">
        <f>O148*Q148*R148</f>
        <v>8589934.5920000002</v>
      </c>
      <c r="T148" s="823" t="s">
        <v>1171</v>
      </c>
      <c r="U148" s="827">
        <v>1</v>
      </c>
      <c r="V148" s="765">
        <f t="shared" ref="V148" si="48">S148*U148</f>
        <v>8589934.5920000002</v>
      </c>
      <c r="W148" s="824">
        <f>N148*U148</f>
        <v>2.5000000000000001E-2</v>
      </c>
      <c r="X148" s="765" t="s">
        <v>1144</v>
      </c>
      <c r="Y148" s="690" t="s">
        <v>1068</v>
      </c>
      <c r="Z148" s="1166">
        <v>18</v>
      </c>
      <c r="AA148" s="725"/>
      <c r="AD148" s="695">
        <f>V148</f>
        <v>8589934.5920000002</v>
      </c>
      <c r="AI148" s="826"/>
      <c r="AJ148" s="727"/>
    </row>
    <row r="149" spans="2:36" x14ac:dyDescent="0.3">
      <c r="B149" s="722"/>
      <c r="C149" s="723"/>
      <c r="D149" s="723"/>
      <c r="I149" s="1044"/>
      <c r="J149" s="84"/>
      <c r="K149" s="1044"/>
      <c r="L149" s="724"/>
      <c r="M149" s="1052"/>
      <c r="N149" s="1173"/>
      <c r="O149" s="765"/>
      <c r="P149" s="821"/>
      <c r="Q149" s="822"/>
      <c r="R149" s="95"/>
      <c r="S149" s="765"/>
      <c r="T149" s="823"/>
      <c r="U149" s="95"/>
      <c r="V149" s="765"/>
      <c r="W149" s="824"/>
      <c r="X149" s="765"/>
      <c r="Y149" s="765"/>
      <c r="Z149" s="1166"/>
      <c r="AA149" s="725"/>
      <c r="AI149" s="826"/>
      <c r="AJ149" s="727"/>
    </row>
    <row r="150" spans="2:36" ht="17.399999999999999" thickBot="1" x14ac:dyDescent="0.45">
      <c r="B150" s="722"/>
      <c r="C150" s="723"/>
      <c r="D150" s="723"/>
      <c r="I150" s="1044"/>
      <c r="J150" s="84">
        <f>J148</f>
        <v>21474836.48</v>
      </c>
      <c r="K150" s="1044"/>
      <c r="L150" s="724" t="s">
        <v>1172</v>
      </c>
      <c r="M150" s="1052">
        <f t="shared" si="46"/>
        <v>4</v>
      </c>
      <c r="N150" s="1172">
        <v>2.5000000000000001E-2</v>
      </c>
      <c r="O150" s="765">
        <f>J150*N150</f>
        <v>536870.91200000001</v>
      </c>
      <c r="P150" s="821"/>
      <c r="Q150" s="822">
        <f>Q148</f>
        <v>16</v>
      </c>
      <c r="R150" s="95">
        <f>R148</f>
        <v>1</v>
      </c>
      <c r="S150" s="732">
        <f>O150*Q150*R150</f>
        <v>8589934.5920000002</v>
      </c>
      <c r="T150" s="823" t="s">
        <v>1173</v>
      </c>
      <c r="U150" s="827">
        <v>1</v>
      </c>
      <c r="V150" s="765">
        <f t="shared" ref="V150" si="49">S150*U150</f>
        <v>8589934.5920000002</v>
      </c>
      <c r="W150" s="824">
        <f>N150*U150</f>
        <v>2.5000000000000001E-2</v>
      </c>
      <c r="X150" s="765" t="s">
        <v>1144</v>
      </c>
      <c r="Y150" s="732" t="s">
        <v>1048</v>
      </c>
      <c r="Z150" s="1166">
        <v>4</v>
      </c>
      <c r="AA150" s="725"/>
      <c r="AD150" s="695">
        <f>V150</f>
        <v>8589934.5920000002</v>
      </c>
      <c r="AI150" s="826"/>
      <c r="AJ150" s="727"/>
    </row>
    <row r="151" spans="2:36" x14ac:dyDescent="0.3">
      <c r="B151" s="722"/>
      <c r="C151" s="723"/>
      <c r="D151" s="723"/>
      <c r="I151" s="1044"/>
      <c r="J151" s="84"/>
      <c r="K151" s="1044"/>
      <c r="L151" s="724"/>
      <c r="M151" s="1052"/>
      <c r="N151" s="1173"/>
      <c r="O151" s="765"/>
      <c r="P151" s="821"/>
      <c r="Q151" s="822"/>
      <c r="R151" s="95"/>
      <c r="S151" s="765"/>
      <c r="T151" s="823"/>
      <c r="U151" s="95"/>
      <c r="V151" s="765"/>
      <c r="W151" s="824"/>
      <c r="X151" s="765"/>
      <c r="Y151" s="765"/>
      <c r="Z151" s="1166"/>
      <c r="AA151" s="725"/>
      <c r="AI151" s="826"/>
      <c r="AJ151" s="727"/>
    </row>
    <row r="152" spans="2:36" ht="17.399999999999999" thickBot="1" x14ac:dyDescent="0.45">
      <c r="B152" s="722"/>
      <c r="C152" s="723"/>
      <c r="D152" s="723"/>
      <c r="I152" s="1044"/>
      <c r="J152" s="84">
        <f>J150</f>
        <v>21474836.48</v>
      </c>
      <c r="K152" s="1044"/>
      <c r="L152" s="724" t="s">
        <v>1174</v>
      </c>
      <c r="M152" s="1052">
        <f t="shared" si="46"/>
        <v>6</v>
      </c>
      <c r="N152" s="1172">
        <v>2.5000000000000001E-2</v>
      </c>
      <c r="O152" s="765">
        <f>J152*N152</f>
        <v>536870.91200000001</v>
      </c>
      <c r="P152" s="821"/>
      <c r="Q152" s="822">
        <f>Q150</f>
        <v>16</v>
      </c>
      <c r="R152" s="95">
        <f>R150</f>
        <v>1</v>
      </c>
      <c r="S152" s="732">
        <f>O152*Q152*R152</f>
        <v>8589934.5920000002</v>
      </c>
      <c r="T152" s="823" t="s">
        <v>1175</v>
      </c>
      <c r="U152" s="827">
        <v>1</v>
      </c>
      <c r="V152" s="765">
        <f t="shared" ref="V152" si="50">S152*U152</f>
        <v>8589934.5920000002</v>
      </c>
      <c r="W152" s="824">
        <f>N152*U152</f>
        <v>2.5000000000000001E-2</v>
      </c>
      <c r="X152" s="765" t="s">
        <v>1144</v>
      </c>
      <c r="Y152" s="765" t="s">
        <v>1050</v>
      </c>
      <c r="Z152" s="1166">
        <v>6</v>
      </c>
      <c r="AA152" s="725"/>
      <c r="AC152" s="695">
        <f>V152</f>
        <v>8589934.5920000002</v>
      </c>
      <c r="AI152" s="826"/>
      <c r="AJ152" s="727"/>
    </row>
    <row r="153" spans="2:36" x14ac:dyDescent="0.3">
      <c r="B153" s="722"/>
      <c r="C153" s="723"/>
      <c r="D153" s="723"/>
      <c r="I153" s="1044"/>
      <c r="J153" s="84"/>
      <c r="K153" s="1044"/>
      <c r="L153" s="724"/>
      <c r="M153" s="1052"/>
      <c r="N153" s="1173"/>
      <c r="O153" s="765"/>
      <c r="P153" s="821"/>
      <c r="Q153" s="822"/>
      <c r="R153" s="95"/>
      <c r="S153" s="765"/>
      <c r="T153" s="823"/>
      <c r="U153" s="95"/>
      <c r="V153" s="765"/>
      <c r="W153" s="824"/>
      <c r="X153" s="765"/>
      <c r="Y153" s="765"/>
      <c r="Z153" s="1166"/>
      <c r="AA153" s="725"/>
      <c r="AI153" s="826"/>
      <c r="AJ153" s="727"/>
    </row>
    <row r="154" spans="2:36" ht="17.399999999999999" thickBot="1" x14ac:dyDescent="0.45">
      <c r="B154" s="722"/>
      <c r="C154" s="723"/>
      <c r="D154" s="723"/>
      <c r="I154" s="1044"/>
      <c r="J154" s="84">
        <f>J152</f>
        <v>21474836.48</v>
      </c>
      <c r="K154" s="1044"/>
      <c r="L154" s="724" t="s">
        <v>1176</v>
      </c>
      <c r="M154" s="1052">
        <f t="shared" si="46"/>
        <v>13</v>
      </c>
      <c r="N154" s="1172">
        <v>0.02</v>
      </c>
      <c r="O154" s="765">
        <f>J154*N154</f>
        <v>429496.72960000002</v>
      </c>
      <c r="P154" s="821"/>
      <c r="Q154" s="822">
        <f>Q152</f>
        <v>16</v>
      </c>
      <c r="R154" s="95">
        <f>R152</f>
        <v>1</v>
      </c>
      <c r="S154" s="732">
        <f>O154*Q154*R154</f>
        <v>6871947.6736000003</v>
      </c>
      <c r="T154" s="823" t="s">
        <v>1177</v>
      </c>
      <c r="U154" s="827">
        <v>1</v>
      </c>
      <c r="V154" s="765">
        <f t="shared" ref="V154" si="51">S154*U154</f>
        <v>6871947.6736000003</v>
      </c>
      <c r="W154" s="824">
        <f>N154*U154</f>
        <v>0.02</v>
      </c>
      <c r="X154" s="765" t="s">
        <v>1144</v>
      </c>
      <c r="Y154" s="825" t="s">
        <v>1057</v>
      </c>
      <c r="Z154" s="1166">
        <v>13</v>
      </c>
      <c r="AA154" s="725"/>
      <c r="AE154" s="695">
        <f>V154</f>
        <v>6871947.6736000003</v>
      </c>
      <c r="AI154" s="826"/>
      <c r="AJ154" s="727"/>
    </row>
    <row r="155" spans="2:36" x14ac:dyDescent="0.3">
      <c r="B155" s="722"/>
      <c r="C155" s="723"/>
      <c r="D155" s="723"/>
      <c r="I155" s="1044"/>
      <c r="J155" s="84"/>
      <c r="K155" s="1044"/>
      <c r="L155" s="724"/>
      <c r="M155" s="1052"/>
      <c r="N155" s="1173"/>
      <c r="O155" s="765"/>
      <c r="P155" s="821"/>
      <c r="Q155" s="822"/>
      <c r="R155" s="95"/>
      <c r="S155" s="765"/>
      <c r="T155" s="823"/>
      <c r="U155" s="95"/>
      <c r="V155" s="765"/>
      <c r="W155" s="824"/>
      <c r="X155" s="765"/>
      <c r="Y155" s="765"/>
      <c r="Z155" s="1166"/>
      <c r="AA155" s="725"/>
      <c r="AI155" s="826"/>
      <c r="AJ155" s="727"/>
    </row>
    <row r="156" spans="2:36" ht="17.399999999999999" thickBot="1" x14ac:dyDescent="0.45">
      <c r="B156" s="722"/>
      <c r="C156" s="723"/>
      <c r="D156" s="723"/>
      <c r="I156" s="1044"/>
      <c r="J156" s="84">
        <f>J154</f>
        <v>21474836.48</v>
      </c>
      <c r="K156" s="1044"/>
      <c r="L156" s="692" t="s">
        <v>1178</v>
      </c>
      <c r="M156" s="1052">
        <f t="shared" ref="M156" si="52">Z156</f>
        <v>14</v>
      </c>
      <c r="N156" s="1172">
        <v>5.0000000000000001E-3</v>
      </c>
      <c r="O156" s="765">
        <f>J156*N156</f>
        <v>107374.18240000001</v>
      </c>
      <c r="P156" s="821"/>
      <c r="Q156" s="822">
        <f>Q154</f>
        <v>16</v>
      </c>
      <c r="R156" s="95">
        <f>R152</f>
        <v>1</v>
      </c>
      <c r="S156" s="732">
        <f>O156*Q156*R156</f>
        <v>1717986.9184000001</v>
      </c>
      <c r="T156" s="690" t="s">
        <v>1058</v>
      </c>
      <c r="U156" s="827">
        <v>1</v>
      </c>
      <c r="V156" s="765">
        <f t="shared" ref="V156" si="53">S156*U156</f>
        <v>1717986.9184000001</v>
      </c>
      <c r="W156" s="824">
        <f>N156*U156</f>
        <v>5.0000000000000001E-3</v>
      </c>
      <c r="X156" s="765" t="s">
        <v>1144</v>
      </c>
      <c r="Y156" s="690" t="s">
        <v>1058</v>
      </c>
      <c r="Z156" s="1166">
        <v>14</v>
      </c>
      <c r="AA156" s="725"/>
      <c r="AD156" s="695">
        <f>V156</f>
        <v>1717986.9184000001</v>
      </c>
      <c r="AI156" s="826"/>
      <c r="AJ156" s="727"/>
    </row>
    <row r="157" spans="2:36" x14ac:dyDescent="0.3">
      <c r="B157" s="722"/>
      <c r="C157" s="723"/>
      <c r="D157" s="723"/>
      <c r="I157" s="1044"/>
      <c r="J157" s="84"/>
      <c r="K157" s="1044"/>
      <c r="L157" s="724"/>
      <c r="M157" s="1052"/>
      <c r="N157" s="1173"/>
      <c r="O157" s="765"/>
      <c r="P157" s="821"/>
      <c r="Q157" s="822"/>
      <c r="R157" s="95"/>
      <c r="S157" s="765"/>
      <c r="T157" s="823"/>
      <c r="U157" s="95"/>
      <c r="V157" s="765"/>
      <c r="W157" s="824"/>
      <c r="X157" s="765"/>
      <c r="Y157" s="765"/>
      <c r="Z157" s="1166"/>
      <c r="AA157" s="725"/>
      <c r="AI157" s="826"/>
      <c r="AJ157" s="727"/>
    </row>
    <row r="158" spans="2:36" ht="17.399999999999999" thickBot="1" x14ac:dyDescent="0.45">
      <c r="B158" s="722"/>
      <c r="C158" s="723"/>
      <c r="D158" s="723"/>
      <c r="I158" s="1044"/>
      <c r="J158" s="84">
        <f>J156</f>
        <v>21474836.48</v>
      </c>
      <c r="K158" s="1044"/>
      <c r="L158" s="692" t="s">
        <v>1179</v>
      </c>
      <c r="M158" s="1052">
        <f t="shared" ref="M158" si="54">Z158</f>
        <v>15</v>
      </c>
      <c r="N158" s="1172">
        <v>5.0000000000000001E-3</v>
      </c>
      <c r="O158" s="765">
        <f>J158*N158</f>
        <v>107374.18240000001</v>
      </c>
      <c r="P158" s="821"/>
      <c r="Q158" s="822">
        <f>Q156</f>
        <v>16</v>
      </c>
      <c r="R158" s="95">
        <f>R154</f>
        <v>1</v>
      </c>
      <c r="S158" s="732">
        <f>O158*Q158*R158</f>
        <v>1717986.9184000001</v>
      </c>
      <c r="T158" s="690" t="s">
        <v>1059</v>
      </c>
      <c r="U158" s="827">
        <v>1</v>
      </c>
      <c r="V158" s="765">
        <f t="shared" ref="V158" si="55">S158*U158</f>
        <v>1717986.9184000001</v>
      </c>
      <c r="W158" s="824">
        <f>N158*U158</f>
        <v>5.0000000000000001E-3</v>
      </c>
      <c r="X158" s="765" t="s">
        <v>1144</v>
      </c>
      <c r="Y158" s="690" t="s">
        <v>1059</v>
      </c>
      <c r="Z158" s="1166">
        <v>15</v>
      </c>
      <c r="AA158" s="725"/>
      <c r="AC158" s="695">
        <f>V158</f>
        <v>1717986.9184000001</v>
      </c>
      <c r="AI158" s="826"/>
      <c r="AJ158" s="727"/>
    </row>
    <row r="159" spans="2:36" x14ac:dyDescent="0.3">
      <c r="B159" s="722"/>
      <c r="C159" s="723"/>
      <c r="D159" s="723"/>
      <c r="I159" s="1044"/>
      <c r="J159" s="84"/>
      <c r="K159" s="1044"/>
      <c r="L159" s="724"/>
      <c r="M159" s="1052"/>
      <c r="N159" s="1173"/>
      <c r="O159" s="765"/>
      <c r="P159" s="821"/>
      <c r="Q159" s="822"/>
      <c r="R159" s="95"/>
      <c r="S159" s="765"/>
      <c r="T159" s="823"/>
      <c r="U159" s="95"/>
      <c r="V159" s="765"/>
      <c r="W159" s="824"/>
      <c r="X159" s="765"/>
      <c r="Y159" s="765"/>
      <c r="Z159" s="1166"/>
      <c r="AA159" s="725"/>
      <c r="AI159" s="826"/>
      <c r="AJ159" s="727"/>
    </row>
    <row r="160" spans="2:36" ht="17.399999999999999" thickBot="1" x14ac:dyDescent="0.45">
      <c r="B160" s="722"/>
      <c r="C160" s="723"/>
      <c r="D160" s="723"/>
      <c r="I160" s="1044"/>
      <c r="J160" s="84">
        <f>J158</f>
        <v>21474836.48</v>
      </c>
      <c r="K160" s="1044"/>
      <c r="L160" s="692" t="s">
        <v>1180</v>
      </c>
      <c r="M160" s="1052">
        <f t="shared" ref="M160" si="56">Z160</f>
        <v>19</v>
      </c>
      <c r="N160" s="1172">
        <v>2.5000000000000001E-2</v>
      </c>
      <c r="O160" s="765">
        <f>J160*N160</f>
        <v>536870.91200000001</v>
      </c>
      <c r="P160" s="821"/>
      <c r="Q160" s="822">
        <f>Q158</f>
        <v>16</v>
      </c>
      <c r="R160" s="95">
        <f>R156</f>
        <v>1</v>
      </c>
      <c r="S160" s="732">
        <f>O160*Q160*R160</f>
        <v>8589934.5920000002</v>
      </c>
      <c r="T160" s="690" t="s">
        <v>1069</v>
      </c>
      <c r="U160" s="827">
        <v>1</v>
      </c>
      <c r="V160" s="765">
        <f t="shared" ref="V160" si="57">S160*U160</f>
        <v>8589934.5920000002</v>
      </c>
      <c r="W160" s="824">
        <f>N160*U160</f>
        <v>2.5000000000000001E-2</v>
      </c>
      <c r="X160" s="765" t="s">
        <v>1144</v>
      </c>
      <c r="Y160" s="690" t="s">
        <v>1069</v>
      </c>
      <c r="Z160" s="1166">
        <v>19</v>
      </c>
      <c r="AA160" s="725"/>
      <c r="AF160" s="695">
        <f>V160</f>
        <v>8589934.5920000002</v>
      </c>
      <c r="AI160" s="826"/>
      <c r="AJ160" s="727"/>
    </row>
    <row r="161" spans="2:36" x14ac:dyDescent="0.3">
      <c r="B161" s="722"/>
      <c r="C161" s="723"/>
      <c r="D161" s="723"/>
      <c r="I161" s="1044"/>
      <c r="J161" s="84"/>
      <c r="K161" s="1044"/>
      <c r="L161" s="724"/>
      <c r="M161" s="1052"/>
      <c r="N161" s="1173"/>
      <c r="O161" s="765"/>
      <c r="P161" s="821"/>
      <c r="Q161" s="822"/>
      <c r="R161" s="95"/>
      <c r="S161" s="765"/>
      <c r="T161" s="823"/>
      <c r="U161" s="95"/>
      <c r="V161" s="765"/>
      <c r="W161" s="824"/>
      <c r="X161" s="765"/>
      <c r="Y161" s="765"/>
      <c r="Z161" s="1166"/>
      <c r="AA161" s="725"/>
      <c r="AI161" s="826"/>
      <c r="AJ161" s="727"/>
    </row>
    <row r="162" spans="2:36" ht="17.399999999999999" thickBot="1" x14ac:dyDescent="0.45">
      <c r="B162" s="722"/>
      <c r="C162" s="723"/>
      <c r="D162" s="723"/>
      <c r="I162" s="1044"/>
      <c r="J162" s="84">
        <f>J160</f>
        <v>21474836.48</v>
      </c>
      <c r="K162" s="1044"/>
      <c r="L162" s="692" t="s">
        <v>1181</v>
      </c>
      <c r="M162" s="1052">
        <f t="shared" ref="M162" si="58">Z162</f>
        <v>22</v>
      </c>
      <c r="N162" s="1172">
        <v>5.0000000000000001E-3</v>
      </c>
      <c r="O162" s="765">
        <f>J162*N162</f>
        <v>107374.18240000001</v>
      </c>
      <c r="P162" s="821"/>
      <c r="Q162" s="822">
        <f>Q160</f>
        <v>16</v>
      </c>
      <c r="R162" s="95">
        <f>R158</f>
        <v>1</v>
      </c>
      <c r="S162" s="732">
        <f>O162*Q162*R162</f>
        <v>1717986.9184000001</v>
      </c>
      <c r="T162" s="690" t="s">
        <v>1072</v>
      </c>
      <c r="U162" s="827">
        <v>1</v>
      </c>
      <c r="V162" s="765">
        <f t="shared" ref="V162" si="59">S162*U162</f>
        <v>1717986.9184000001</v>
      </c>
      <c r="W162" s="824">
        <f>N162*U162</f>
        <v>5.0000000000000001E-3</v>
      </c>
      <c r="X162" s="765" t="s">
        <v>1144</v>
      </c>
      <c r="Y162" s="690" t="s">
        <v>1072</v>
      </c>
      <c r="Z162" s="1166">
        <v>22</v>
      </c>
      <c r="AA162" s="725"/>
      <c r="AE162" s="695">
        <f>V162</f>
        <v>1717986.9184000001</v>
      </c>
      <c r="AI162" s="826"/>
      <c r="AJ162" s="727"/>
    </row>
    <row r="163" spans="2:36" x14ac:dyDescent="0.3">
      <c r="B163" s="722"/>
      <c r="C163" s="723"/>
      <c r="D163" s="723"/>
      <c r="I163" s="1044"/>
      <c r="J163" s="84"/>
      <c r="K163" s="1044"/>
      <c r="L163" s="724"/>
      <c r="M163" s="1052"/>
      <c r="N163" s="1173"/>
      <c r="O163" s="765"/>
      <c r="P163" s="821"/>
      <c r="Q163" s="822"/>
      <c r="R163" s="95"/>
      <c r="S163" s="765"/>
      <c r="T163" s="823"/>
      <c r="U163" s="95"/>
      <c r="V163" s="765"/>
      <c r="W163" s="824"/>
      <c r="X163" s="765"/>
      <c r="Y163" s="765"/>
      <c r="Z163" s="1166"/>
      <c r="AA163" s="725"/>
      <c r="AI163" s="826"/>
      <c r="AJ163" s="727"/>
    </row>
    <row r="164" spans="2:36" ht="17.399999999999999" thickBot="1" x14ac:dyDescent="0.45">
      <c r="B164" s="722"/>
      <c r="C164" s="723"/>
      <c r="D164" s="723"/>
      <c r="I164" s="1044"/>
      <c r="J164" s="84">
        <f>J162</f>
        <v>21474836.48</v>
      </c>
      <c r="K164" s="1044"/>
      <c r="L164" s="724" t="s">
        <v>1071</v>
      </c>
      <c r="M164" s="1052">
        <f t="shared" si="46"/>
        <v>21</v>
      </c>
      <c r="N164" s="1172">
        <v>5.0000000000000001E-3</v>
      </c>
      <c r="O164" s="765">
        <f>J164*N164</f>
        <v>107374.18240000001</v>
      </c>
      <c r="P164" s="821"/>
      <c r="Q164" s="822">
        <f>Q162</f>
        <v>16</v>
      </c>
      <c r="R164" s="95">
        <f>R154</f>
        <v>1</v>
      </c>
      <c r="S164" s="732">
        <f>O164*Q164*R164</f>
        <v>1717986.9184000001</v>
      </c>
      <c r="T164" s="823" t="s">
        <v>1071</v>
      </c>
      <c r="U164" s="827">
        <v>1</v>
      </c>
      <c r="V164" s="765">
        <f t="shared" ref="V164" si="60">S164*U164</f>
        <v>1717986.9184000001</v>
      </c>
      <c r="W164" s="824">
        <f>N164*U164</f>
        <v>5.0000000000000001E-3</v>
      </c>
      <c r="X164" s="765" t="s">
        <v>1144</v>
      </c>
      <c r="Y164" s="765" t="s">
        <v>1071</v>
      </c>
      <c r="Z164" s="1166">
        <v>21</v>
      </c>
      <c r="AA164" s="725"/>
      <c r="AF164" s="695">
        <f>V164</f>
        <v>1717986.9184000001</v>
      </c>
      <c r="AI164" s="826"/>
      <c r="AJ164" s="727"/>
    </row>
    <row r="165" spans="2:36" x14ac:dyDescent="0.3">
      <c r="B165" s="722"/>
      <c r="C165" s="723"/>
      <c r="D165" s="723"/>
      <c r="I165" s="1044"/>
      <c r="J165" s="84"/>
      <c r="K165" s="1044"/>
      <c r="L165" s="724"/>
      <c r="M165" s="1052"/>
      <c r="N165" s="95"/>
      <c r="O165" s="820"/>
      <c r="P165" s="832"/>
      <c r="Q165" s="822"/>
      <c r="R165" s="95"/>
      <c r="S165" s="765"/>
      <c r="T165" s="823"/>
      <c r="U165" s="95"/>
      <c r="V165" s="765"/>
      <c r="W165" s="824"/>
      <c r="X165" s="765"/>
      <c r="Y165" s="765"/>
      <c r="Z165" s="1166"/>
      <c r="AA165" s="829" t="s">
        <v>1156</v>
      </c>
      <c r="AB165" s="830"/>
      <c r="AC165" s="831" t="s">
        <v>1137</v>
      </c>
      <c r="AD165" s="831" t="s">
        <v>1138</v>
      </c>
      <c r="AE165" s="831" t="s">
        <v>1139</v>
      </c>
      <c r="AF165" s="831" t="s">
        <v>1140</v>
      </c>
      <c r="AG165" s="831" t="s">
        <v>1141</v>
      </c>
      <c r="AH165" s="831" t="s">
        <v>148</v>
      </c>
      <c r="AI165" s="826"/>
      <c r="AJ165" s="727"/>
    </row>
    <row r="166" spans="2:36" ht="7.95" customHeight="1" x14ac:dyDescent="0.3">
      <c r="B166" s="722"/>
      <c r="C166" s="723"/>
      <c r="D166" s="723"/>
      <c r="I166" s="1044"/>
      <c r="J166" s="84"/>
      <c r="K166" s="1044"/>
      <c r="L166" s="724"/>
      <c r="M166" s="1052"/>
      <c r="N166" s="95"/>
      <c r="O166" s="765"/>
      <c r="P166" s="821"/>
      <c r="Q166" s="822"/>
      <c r="R166" s="95"/>
      <c r="S166" s="765"/>
      <c r="T166" s="823"/>
      <c r="U166" s="95"/>
      <c r="V166" s="765"/>
      <c r="W166" s="824"/>
      <c r="X166" s="765"/>
      <c r="Y166" s="765"/>
      <c r="Z166" s="1166"/>
      <c r="AA166" s="725"/>
      <c r="AI166" s="826"/>
      <c r="AJ166" s="727"/>
    </row>
    <row r="167" spans="2:36" ht="16.8" x14ac:dyDescent="0.4">
      <c r="B167" s="722"/>
      <c r="C167" s="723"/>
      <c r="D167" s="723"/>
      <c r="I167" s="1044"/>
      <c r="J167" s="84">
        <f>J164</f>
        <v>21474836.48</v>
      </c>
      <c r="K167" s="1044"/>
      <c r="L167" s="833" t="s">
        <v>1182</v>
      </c>
      <c r="M167" s="1057">
        <f>Z167</f>
        <v>29</v>
      </c>
      <c r="N167" s="1172">
        <v>0.1</v>
      </c>
      <c r="O167" s="765">
        <f>J167*N167</f>
        <v>2147483.648</v>
      </c>
      <c r="P167" s="821"/>
      <c r="Q167" s="822">
        <f>Q164</f>
        <v>16</v>
      </c>
      <c r="R167" s="95">
        <f>R164</f>
        <v>1</v>
      </c>
      <c r="S167" s="732">
        <f>O167*Q167*R167</f>
        <v>34359738.368000001</v>
      </c>
      <c r="T167" s="823" t="s">
        <v>35</v>
      </c>
      <c r="U167" s="95">
        <v>0.05</v>
      </c>
      <c r="V167" s="765">
        <f>S167*U167</f>
        <v>1717986.9184000001</v>
      </c>
      <c r="W167" s="824">
        <f t="shared" ref="W167:W176" si="61">N167*U167</f>
        <v>5.000000000000001E-3</v>
      </c>
      <c r="X167" s="765" t="s">
        <v>1144</v>
      </c>
      <c r="Y167" s="765" t="s">
        <v>35</v>
      </c>
      <c r="Z167" s="1166">
        <v>29</v>
      </c>
      <c r="AA167" s="725"/>
      <c r="AF167" s="695">
        <f>V167</f>
        <v>1717986.9184000001</v>
      </c>
      <c r="AI167" s="826"/>
      <c r="AJ167" s="727"/>
    </row>
    <row r="168" spans="2:36" x14ac:dyDescent="0.3">
      <c r="B168" s="722"/>
      <c r="C168" s="723"/>
      <c r="D168" s="723"/>
      <c r="I168" s="1044"/>
      <c r="J168" s="84"/>
      <c r="K168" s="1044"/>
      <c r="L168" s="833"/>
      <c r="M168" s="1057">
        <f t="shared" ref="M168:M176" si="62">Z168</f>
        <v>30</v>
      </c>
      <c r="N168" s="812">
        <f>N167</f>
        <v>0.1</v>
      </c>
      <c r="O168" s="765"/>
      <c r="P168" s="821"/>
      <c r="Q168" s="822"/>
      <c r="R168" s="95"/>
      <c r="S168" s="765">
        <f>S167</f>
        <v>34359738.368000001</v>
      </c>
      <c r="T168" s="823" t="s">
        <v>1115</v>
      </c>
      <c r="U168" s="95">
        <v>0.05</v>
      </c>
      <c r="V168" s="765">
        <f t="shared" ref="V168:V176" si="63">S168*U168</f>
        <v>1717986.9184000001</v>
      </c>
      <c r="W168" s="824">
        <f t="shared" si="61"/>
        <v>5.000000000000001E-3</v>
      </c>
      <c r="X168" s="765" t="s">
        <v>1144</v>
      </c>
      <c r="Y168" s="765" t="s">
        <v>1081</v>
      </c>
      <c r="Z168" s="1166">
        <v>30</v>
      </c>
      <c r="AA168" s="725"/>
      <c r="AF168" s="695">
        <f>V168</f>
        <v>1717986.9184000001</v>
      </c>
      <c r="AI168" s="826"/>
      <c r="AJ168" s="727"/>
    </row>
    <row r="169" spans="2:36" x14ac:dyDescent="0.3">
      <c r="B169" s="722"/>
      <c r="C169" s="723"/>
      <c r="D169" s="723"/>
      <c r="I169" s="1044"/>
      <c r="J169" s="84"/>
      <c r="K169" s="1044"/>
      <c r="L169" s="833"/>
      <c r="M169" s="1057">
        <f t="shared" si="62"/>
        <v>31</v>
      </c>
      <c r="N169" s="812">
        <f>N168</f>
        <v>0.1</v>
      </c>
      <c r="O169" s="765"/>
      <c r="P169" s="821"/>
      <c r="Q169" s="822"/>
      <c r="R169" s="95"/>
      <c r="S169" s="765">
        <f>S168</f>
        <v>34359738.368000001</v>
      </c>
      <c r="T169" s="823" t="s">
        <v>1082</v>
      </c>
      <c r="U169" s="95">
        <v>0.05</v>
      </c>
      <c r="V169" s="765">
        <f t="shared" si="63"/>
        <v>1717986.9184000001</v>
      </c>
      <c r="W169" s="824">
        <f t="shared" si="61"/>
        <v>5.000000000000001E-3</v>
      </c>
      <c r="X169" s="765" t="s">
        <v>1144</v>
      </c>
      <c r="Y169" s="825" t="s">
        <v>1082</v>
      </c>
      <c r="Z169" s="1166">
        <v>31</v>
      </c>
      <c r="AA169" s="725"/>
      <c r="AG169" s="695" t="str">
        <f>Y169</f>
        <v>Assets / Recourses</v>
      </c>
      <c r="AI169" s="826"/>
      <c r="AJ169" s="727"/>
    </row>
    <row r="170" spans="2:36" x14ac:dyDescent="0.3">
      <c r="B170" s="722"/>
      <c r="C170" s="723"/>
      <c r="D170" s="723"/>
      <c r="I170" s="1044"/>
      <c r="J170" s="84"/>
      <c r="K170" s="1044"/>
      <c r="L170" s="833" t="s">
        <v>1183</v>
      </c>
      <c r="M170" s="1057">
        <f t="shared" si="62"/>
        <v>20</v>
      </c>
      <c r="N170" s="107">
        <f>N169</f>
        <v>0.1</v>
      </c>
      <c r="O170" s="765"/>
      <c r="P170" s="821"/>
      <c r="Q170" s="822"/>
      <c r="R170" s="95"/>
      <c r="S170" s="765">
        <f>S167</f>
        <v>34359738.368000001</v>
      </c>
      <c r="T170" s="823" t="s">
        <v>1184</v>
      </c>
      <c r="U170" s="95">
        <v>0.05</v>
      </c>
      <c r="V170" s="765">
        <f t="shared" si="63"/>
        <v>1717986.9184000001</v>
      </c>
      <c r="W170" s="824">
        <f t="shared" si="61"/>
        <v>5.000000000000001E-3</v>
      </c>
      <c r="X170" s="765" t="s">
        <v>1144</v>
      </c>
      <c r="Y170" s="732" t="s">
        <v>1070</v>
      </c>
      <c r="Z170" s="1168">
        <v>20</v>
      </c>
      <c r="AA170" s="725"/>
      <c r="AE170" s="695">
        <f>V170</f>
        <v>1717986.9184000001</v>
      </c>
      <c r="AI170" s="826"/>
      <c r="AJ170" s="727"/>
    </row>
    <row r="171" spans="2:36" x14ac:dyDescent="0.3">
      <c r="B171" s="722"/>
      <c r="C171" s="723"/>
      <c r="D171" s="723"/>
      <c r="I171" s="1044"/>
      <c r="J171" s="84"/>
      <c r="K171" s="1044"/>
      <c r="L171" s="833" t="s">
        <v>706</v>
      </c>
      <c r="M171" s="1057">
        <f t="shared" si="62"/>
        <v>3</v>
      </c>
      <c r="N171" s="95">
        <f>N167</f>
        <v>0.1</v>
      </c>
      <c r="O171" s="765"/>
      <c r="P171" s="821"/>
      <c r="Q171" s="822"/>
      <c r="R171" s="95"/>
      <c r="S171" s="765">
        <f t="shared" ref="S171" si="64">S167</f>
        <v>34359738.368000001</v>
      </c>
      <c r="T171" s="823" t="s">
        <v>1185</v>
      </c>
      <c r="U171" s="95">
        <v>0.05</v>
      </c>
      <c r="V171" s="765">
        <f t="shared" si="63"/>
        <v>1717986.9184000001</v>
      </c>
      <c r="W171" s="824">
        <f t="shared" si="61"/>
        <v>5.000000000000001E-3</v>
      </c>
      <c r="X171" s="765" t="s">
        <v>1144</v>
      </c>
      <c r="Y171" s="732" t="s">
        <v>1047</v>
      </c>
      <c r="Z171" s="1166">
        <v>3</v>
      </c>
      <c r="AA171" s="725"/>
      <c r="AE171" s="695">
        <f>V171</f>
        <v>1717986.9184000001</v>
      </c>
      <c r="AI171" s="826"/>
      <c r="AJ171" s="727"/>
    </row>
    <row r="172" spans="2:36" x14ac:dyDescent="0.3">
      <c r="B172" s="722"/>
      <c r="C172" s="723"/>
      <c r="D172" s="723"/>
      <c r="I172" s="1044"/>
      <c r="J172" s="84"/>
      <c r="K172" s="1044"/>
      <c r="L172" s="833" t="s">
        <v>706</v>
      </c>
      <c r="M172" s="1057">
        <f t="shared" si="62"/>
        <v>1</v>
      </c>
      <c r="N172" s="95">
        <f>N170</f>
        <v>0.1</v>
      </c>
      <c r="O172" s="765"/>
      <c r="P172" s="821"/>
      <c r="Q172" s="822"/>
      <c r="R172" s="95"/>
      <c r="S172" s="765">
        <f t="shared" ref="S172" si="65">S170</f>
        <v>34359738.368000001</v>
      </c>
      <c r="T172" s="823" t="s">
        <v>101</v>
      </c>
      <c r="U172" s="95">
        <v>0.15</v>
      </c>
      <c r="V172" s="765">
        <f t="shared" si="63"/>
        <v>5153960.7551999995</v>
      </c>
      <c r="W172" s="824">
        <f t="shared" si="61"/>
        <v>1.4999999999999999E-2</v>
      </c>
      <c r="X172" s="765" t="s">
        <v>1144</v>
      </c>
      <c r="Y172" s="732" t="s">
        <v>1045</v>
      </c>
      <c r="Z172" s="1166">
        <v>1</v>
      </c>
      <c r="AA172" s="725"/>
      <c r="AC172" s="695">
        <f>V172</f>
        <v>5153960.7551999995</v>
      </c>
      <c r="AI172" s="826"/>
      <c r="AJ172" s="727"/>
    </row>
    <row r="173" spans="2:36" x14ac:dyDescent="0.3">
      <c r="B173" s="722"/>
      <c r="C173" s="723"/>
      <c r="D173" s="723"/>
      <c r="I173" s="1044"/>
      <c r="J173" s="84"/>
      <c r="K173" s="1044"/>
      <c r="L173" s="834"/>
      <c r="M173" s="1057">
        <f t="shared" si="62"/>
        <v>20</v>
      </c>
      <c r="N173" s="95">
        <f>N172</f>
        <v>0.1</v>
      </c>
      <c r="O173" s="765"/>
      <c r="P173" s="821"/>
      <c r="Q173" s="822"/>
      <c r="R173" s="95"/>
      <c r="S173" s="765">
        <f>S172</f>
        <v>34359738.368000001</v>
      </c>
      <c r="T173" s="823" t="s">
        <v>1186</v>
      </c>
      <c r="U173" s="95">
        <v>0.3</v>
      </c>
      <c r="V173" s="765">
        <f t="shared" si="63"/>
        <v>10307921.510399999</v>
      </c>
      <c r="W173" s="824">
        <f t="shared" si="61"/>
        <v>0.03</v>
      </c>
      <c r="X173" s="765" t="s">
        <v>1144</v>
      </c>
      <c r="Y173" s="732" t="s">
        <v>1070</v>
      </c>
      <c r="Z173" s="1166">
        <v>20</v>
      </c>
      <c r="AA173" s="725"/>
      <c r="AD173" s="695">
        <f>V173</f>
        <v>10307921.510399999</v>
      </c>
      <c r="AI173" s="826"/>
      <c r="AJ173" s="727"/>
    </row>
    <row r="174" spans="2:36" x14ac:dyDescent="0.3">
      <c r="B174" s="722"/>
      <c r="C174" s="723"/>
      <c r="D174" s="723"/>
      <c r="I174" s="1044"/>
      <c r="J174" s="84"/>
      <c r="K174" s="1044"/>
      <c r="L174" s="834"/>
      <c r="M174" s="1057" t="str">
        <f t="shared" si="62"/>
        <v>0B</v>
      </c>
      <c r="N174" s="95">
        <f>N173</f>
        <v>0.1</v>
      </c>
      <c r="O174" s="765"/>
      <c r="P174" s="821"/>
      <c r="Q174" s="822"/>
      <c r="R174" s="95"/>
      <c r="S174" s="765">
        <f>S173</f>
        <v>34359738.368000001</v>
      </c>
      <c r="T174" s="823" t="s">
        <v>1187</v>
      </c>
      <c r="U174" s="95">
        <v>0.09</v>
      </c>
      <c r="V174" s="765">
        <f t="shared" si="63"/>
        <v>3092376.4531199997</v>
      </c>
      <c r="W174" s="824">
        <f t="shared" si="61"/>
        <v>8.9999999999999993E-3</v>
      </c>
      <c r="X174" s="765" t="s">
        <v>1144</v>
      </c>
      <c r="Y174" s="765" t="s">
        <v>1188</v>
      </c>
      <c r="Z174" s="1166" t="s">
        <v>1043</v>
      </c>
      <c r="AA174" s="725"/>
      <c r="AC174" s="695">
        <f>V174</f>
        <v>3092376.4531199997</v>
      </c>
      <c r="AI174" s="826"/>
      <c r="AJ174" s="727"/>
    </row>
    <row r="175" spans="2:36" x14ac:dyDescent="0.3">
      <c r="B175" s="722"/>
      <c r="C175" s="723"/>
      <c r="D175" s="723"/>
      <c r="I175" s="1044"/>
      <c r="J175" s="84"/>
      <c r="K175" s="1044"/>
      <c r="L175" s="834"/>
      <c r="M175" s="1057" t="str">
        <f t="shared" si="62"/>
        <v>0A</v>
      </c>
      <c r="N175" s="95">
        <f>N174</f>
        <v>0.1</v>
      </c>
      <c r="O175" s="765"/>
      <c r="P175" s="821"/>
      <c r="Q175" s="822"/>
      <c r="R175" s="95"/>
      <c r="S175" s="765">
        <f>S174</f>
        <v>34359738.368000001</v>
      </c>
      <c r="T175" s="823" t="s">
        <v>1044</v>
      </c>
      <c r="U175" s="835">
        <v>0.01</v>
      </c>
      <c r="V175" s="765">
        <f t="shared" si="63"/>
        <v>343597.38368000003</v>
      </c>
      <c r="W175" s="824">
        <f t="shared" si="61"/>
        <v>1E-3</v>
      </c>
      <c r="X175" s="765" t="s">
        <v>1144</v>
      </c>
      <c r="Y175" s="823" t="s">
        <v>1044</v>
      </c>
      <c r="Z175" s="1166" t="s">
        <v>1041</v>
      </c>
      <c r="AA175" s="725"/>
      <c r="AC175" s="695">
        <f>V175</f>
        <v>343597.38368000003</v>
      </c>
      <c r="AI175" s="826"/>
      <c r="AJ175" s="727"/>
    </row>
    <row r="176" spans="2:36" x14ac:dyDescent="0.3">
      <c r="B176" s="722"/>
      <c r="C176" s="723"/>
      <c r="D176" s="723"/>
      <c r="I176" s="1044"/>
      <c r="J176" s="84"/>
      <c r="K176" s="1044"/>
      <c r="L176" s="834"/>
      <c r="M176" s="1057">
        <f t="shared" si="62"/>
        <v>32</v>
      </c>
      <c r="N176" s="95">
        <f>N175</f>
        <v>0.1</v>
      </c>
      <c r="O176" s="765"/>
      <c r="P176" s="821"/>
      <c r="Q176" s="822"/>
      <c r="R176" s="95"/>
      <c r="S176" s="765">
        <f>S175</f>
        <v>34359738.368000001</v>
      </c>
      <c r="T176" s="823" t="s">
        <v>148</v>
      </c>
      <c r="U176" s="95">
        <v>0.2</v>
      </c>
      <c r="V176" s="765">
        <f t="shared" si="63"/>
        <v>6871947.6736000003</v>
      </c>
      <c r="W176" s="824">
        <f t="shared" si="61"/>
        <v>2.0000000000000004E-2</v>
      </c>
      <c r="X176" s="765" t="s">
        <v>1144</v>
      </c>
      <c r="Y176" s="765" t="s">
        <v>148</v>
      </c>
      <c r="Z176" s="1166">
        <v>32</v>
      </c>
      <c r="AA176" s="725"/>
      <c r="AH176" s="695">
        <f>V176</f>
        <v>6871947.6736000003</v>
      </c>
      <c r="AI176" s="826"/>
      <c r="AJ176" s="727"/>
    </row>
    <row r="177" spans="2:36" ht="16.2" thickBot="1" x14ac:dyDescent="0.35">
      <c r="B177" s="722"/>
      <c r="C177" s="723"/>
      <c r="D177" s="723"/>
      <c r="I177" s="1044"/>
      <c r="J177" s="84"/>
      <c r="K177" s="1044"/>
      <c r="L177" s="724"/>
      <c r="M177" s="1052"/>
      <c r="N177" s="95"/>
      <c r="O177" s="765"/>
      <c r="P177" s="821"/>
      <c r="Q177" s="822"/>
      <c r="R177" s="95"/>
      <c r="S177" s="765"/>
      <c r="T177" s="823"/>
      <c r="U177" s="827">
        <f>SUM(U167:U176)</f>
        <v>1</v>
      </c>
      <c r="V177" s="765"/>
      <c r="W177" s="824"/>
      <c r="X177" s="765"/>
      <c r="Y177" s="765"/>
      <c r="Z177" s="1166"/>
      <c r="AA177" s="725"/>
      <c r="AI177" s="826"/>
      <c r="AJ177" s="727"/>
    </row>
    <row r="178" spans="2:36" ht="7.95" customHeight="1" x14ac:dyDescent="0.3">
      <c r="B178" s="722"/>
      <c r="C178" s="723"/>
      <c r="D178" s="723"/>
      <c r="I178" s="1044"/>
      <c r="J178" s="84"/>
      <c r="K178" s="1044"/>
      <c r="L178" s="724"/>
      <c r="M178" s="1052"/>
      <c r="N178" s="95"/>
      <c r="O178" s="765"/>
      <c r="P178" s="821"/>
      <c r="Q178" s="822"/>
      <c r="R178" s="95"/>
      <c r="S178" s="765"/>
      <c r="T178" s="823"/>
      <c r="U178" s="95"/>
      <c r="V178" s="765"/>
      <c r="W178" s="824"/>
      <c r="X178" s="765"/>
      <c r="Y178" s="765"/>
      <c r="Z178" s="1166"/>
      <c r="AA178" s="725"/>
      <c r="AI178" s="826"/>
      <c r="AJ178" s="727"/>
    </row>
    <row r="179" spans="2:36" ht="16.8" x14ac:dyDescent="0.4">
      <c r="B179" s="722"/>
      <c r="C179" s="723"/>
      <c r="D179" s="723"/>
      <c r="I179" s="1044"/>
      <c r="J179" s="84">
        <f>J167</f>
        <v>21474836.48</v>
      </c>
      <c r="K179" s="1044"/>
      <c r="L179" s="833" t="s">
        <v>1189</v>
      </c>
      <c r="M179" s="1057">
        <f t="shared" ref="M179:M189" si="66">Z179</f>
        <v>6</v>
      </c>
      <c r="N179" s="1172">
        <v>0.1</v>
      </c>
      <c r="O179" s="765">
        <f>J179*N179</f>
        <v>2147483.648</v>
      </c>
      <c r="P179" s="821"/>
      <c r="Q179" s="822">
        <f>Q167</f>
        <v>16</v>
      </c>
      <c r="R179" s="95">
        <f>R167</f>
        <v>1</v>
      </c>
      <c r="S179" s="732">
        <f>O179*Q179*R179</f>
        <v>34359738.368000001</v>
      </c>
      <c r="T179" s="823" t="s">
        <v>1146</v>
      </c>
      <c r="U179" s="95">
        <v>0.15</v>
      </c>
      <c r="V179" s="765">
        <f>S179*U179</f>
        <v>5153960.7551999995</v>
      </c>
      <c r="W179" s="824">
        <f t="shared" ref="W179:W189" si="67">N179*U179</f>
        <v>1.4999999999999999E-2</v>
      </c>
      <c r="X179" s="765" t="s">
        <v>1144</v>
      </c>
      <c r="Y179" s="765" t="s">
        <v>1050</v>
      </c>
      <c r="Z179" s="1166">
        <v>6</v>
      </c>
      <c r="AA179" s="725"/>
      <c r="AC179" s="695">
        <f>V179</f>
        <v>5153960.7551999995</v>
      </c>
      <c r="AI179" s="826"/>
      <c r="AJ179" s="727"/>
    </row>
    <row r="180" spans="2:36" x14ac:dyDescent="0.3">
      <c r="B180" s="722"/>
      <c r="C180" s="723"/>
      <c r="D180" s="723"/>
      <c r="I180" s="1044"/>
      <c r="J180" s="84"/>
      <c r="K180" s="1044"/>
      <c r="L180" s="833" t="s">
        <v>1190</v>
      </c>
      <c r="M180" s="1057" t="str">
        <f t="shared" si="66"/>
        <v>0A</v>
      </c>
      <c r="N180" s="95">
        <f t="shared" ref="N180:N181" si="68">N179</f>
        <v>0.1</v>
      </c>
      <c r="O180" s="765"/>
      <c r="P180" s="821"/>
      <c r="Q180" s="822"/>
      <c r="R180" s="95"/>
      <c r="S180" s="765">
        <f t="shared" ref="S180:S181" si="69">S179</f>
        <v>34359738.368000001</v>
      </c>
      <c r="T180" s="823" t="s">
        <v>1044</v>
      </c>
      <c r="U180" s="95">
        <v>0.15</v>
      </c>
      <c r="V180" s="765">
        <f t="shared" ref="V180:V187" si="70">S180*U180</f>
        <v>5153960.7551999995</v>
      </c>
      <c r="W180" s="824">
        <f t="shared" si="67"/>
        <v>1.4999999999999999E-2</v>
      </c>
      <c r="X180" s="765" t="s">
        <v>1144</v>
      </c>
      <c r="Y180" s="836" t="s">
        <v>1044</v>
      </c>
      <c r="Z180" s="1166" t="s">
        <v>1041</v>
      </c>
      <c r="AA180" s="725"/>
      <c r="AC180" s="695">
        <f t="shared" ref="AC180:AC189" si="71">V180</f>
        <v>5153960.7551999995</v>
      </c>
      <c r="AI180" s="826"/>
      <c r="AJ180" s="727"/>
    </row>
    <row r="181" spans="2:36" x14ac:dyDescent="0.3">
      <c r="B181" s="722"/>
      <c r="C181" s="723"/>
      <c r="D181" s="723"/>
      <c r="I181" s="1044"/>
      <c r="J181" s="84"/>
      <c r="K181" s="1044"/>
      <c r="L181" s="833"/>
      <c r="M181" s="1057">
        <f t="shared" si="66"/>
        <v>4</v>
      </c>
      <c r="N181" s="95">
        <f t="shared" si="68"/>
        <v>0.1</v>
      </c>
      <c r="O181" s="765"/>
      <c r="P181" s="821"/>
      <c r="Q181" s="822"/>
      <c r="R181" s="95"/>
      <c r="S181" s="765">
        <f t="shared" si="69"/>
        <v>34359738.368000001</v>
      </c>
      <c r="T181" s="823" t="s">
        <v>1173</v>
      </c>
      <c r="U181" s="95">
        <v>0.1</v>
      </c>
      <c r="V181" s="765">
        <f t="shared" si="70"/>
        <v>3435973.8368000002</v>
      </c>
      <c r="W181" s="824">
        <f t="shared" si="67"/>
        <v>1.0000000000000002E-2</v>
      </c>
      <c r="X181" s="765" t="s">
        <v>1144</v>
      </c>
      <c r="Y181" s="732" t="s">
        <v>1048</v>
      </c>
      <c r="Z181" s="1166">
        <v>4</v>
      </c>
      <c r="AA181" s="725"/>
      <c r="AC181" s="695">
        <f>V181</f>
        <v>3435973.8368000002</v>
      </c>
      <c r="AI181" s="826"/>
      <c r="AJ181" s="727"/>
    </row>
    <row r="182" spans="2:36" x14ac:dyDescent="0.3">
      <c r="B182" s="722"/>
      <c r="C182" s="723"/>
      <c r="D182" s="723"/>
      <c r="I182" s="1044"/>
      <c r="J182" s="84"/>
      <c r="K182" s="1044"/>
      <c r="L182" s="833" t="s">
        <v>1191</v>
      </c>
      <c r="M182" s="1057">
        <f t="shared" si="66"/>
        <v>10</v>
      </c>
      <c r="N182" s="95">
        <f>N181</f>
        <v>0.1</v>
      </c>
      <c r="O182" s="765"/>
      <c r="P182" s="821"/>
      <c r="Q182" s="822"/>
      <c r="R182" s="95"/>
      <c r="S182" s="765">
        <f>S181</f>
        <v>34359738.368000001</v>
      </c>
      <c r="T182" s="823" t="s">
        <v>1192</v>
      </c>
      <c r="U182" s="95">
        <v>0.15</v>
      </c>
      <c r="V182" s="765">
        <f t="shared" si="70"/>
        <v>5153960.7551999995</v>
      </c>
      <c r="W182" s="824">
        <f t="shared" si="67"/>
        <v>1.4999999999999999E-2</v>
      </c>
      <c r="X182" s="765" t="s">
        <v>1144</v>
      </c>
      <c r="Y182" s="732" t="s">
        <v>1054</v>
      </c>
      <c r="Z182" s="1166">
        <v>10</v>
      </c>
      <c r="AA182" s="725"/>
      <c r="AC182" s="695">
        <f>V182</f>
        <v>5153960.7551999995</v>
      </c>
      <c r="AI182" s="826"/>
      <c r="AJ182" s="727"/>
    </row>
    <row r="183" spans="2:36" x14ac:dyDescent="0.3">
      <c r="B183" s="722"/>
      <c r="C183" s="723"/>
      <c r="D183" s="723"/>
      <c r="I183" s="1044"/>
      <c r="J183" s="84"/>
      <c r="K183" s="1044"/>
      <c r="L183" s="833" t="s">
        <v>1193</v>
      </c>
      <c r="M183" s="1057">
        <f t="shared" si="66"/>
        <v>12</v>
      </c>
      <c r="N183" s="95">
        <f t="shared" ref="N183:N189" si="72">N182</f>
        <v>0.1</v>
      </c>
      <c r="O183" s="765"/>
      <c r="P183" s="821"/>
      <c r="Q183" s="822"/>
      <c r="R183" s="95"/>
      <c r="S183" s="765">
        <f t="shared" ref="S183:S189" si="73">S182</f>
        <v>34359738.368000001</v>
      </c>
      <c r="T183" s="823" t="s">
        <v>1169</v>
      </c>
      <c r="U183" s="95">
        <v>0.05</v>
      </c>
      <c r="V183" s="765">
        <f t="shared" si="70"/>
        <v>1717986.9184000001</v>
      </c>
      <c r="W183" s="824">
        <f t="shared" si="67"/>
        <v>5.000000000000001E-3</v>
      </c>
      <c r="X183" s="765" t="s">
        <v>1144</v>
      </c>
      <c r="Y183" s="732" t="s">
        <v>1056</v>
      </c>
      <c r="Z183" s="1166">
        <v>12</v>
      </c>
      <c r="AA183" s="725"/>
      <c r="AC183" s="695">
        <f t="shared" si="71"/>
        <v>1717986.9184000001</v>
      </c>
      <c r="AI183" s="826"/>
      <c r="AJ183" s="727"/>
    </row>
    <row r="184" spans="2:36" x14ac:dyDescent="0.3">
      <c r="B184" s="722"/>
      <c r="C184" s="723"/>
      <c r="D184" s="723"/>
      <c r="I184" s="1044"/>
      <c r="J184" s="84"/>
      <c r="K184" s="1044"/>
      <c r="L184" s="833"/>
      <c r="M184" s="1057">
        <f t="shared" si="66"/>
        <v>7</v>
      </c>
      <c r="N184" s="95">
        <f t="shared" si="72"/>
        <v>0.1</v>
      </c>
      <c r="O184" s="765"/>
      <c r="P184" s="821"/>
      <c r="Q184" s="822"/>
      <c r="R184" s="95"/>
      <c r="S184" s="765">
        <f t="shared" si="73"/>
        <v>34359738.368000001</v>
      </c>
      <c r="T184" s="823" t="s">
        <v>1194</v>
      </c>
      <c r="U184" s="95">
        <v>0.05</v>
      </c>
      <c r="V184" s="765">
        <f t="shared" si="70"/>
        <v>1717986.9184000001</v>
      </c>
      <c r="W184" s="824">
        <f t="shared" si="67"/>
        <v>5.000000000000001E-3</v>
      </c>
      <c r="X184" s="765" t="s">
        <v>1144</v>
      </c>
      <c r="Y184" s="690" t="s">
        <v>1051</v>
      </c>
      <c r="Z184" s="1166">
        <v>7</v>
      </c>
      <c r="AA184" s="725"/>
      <c r="AC184" s="695">
        <f t="shared" si="71"/>
        <v>1717986.9184000001</v>
      </c>
      <c r="AI184" s="826"/>
      <c r="AJ184" s="727"/>
    </row>
    <row r="185" spans="2:36" x14ac:dyDescent="0.3">
      <c r="B185" s="722"/>
      <c r="C185" s="723"/>
      <c r="D185" s="723"/>
      <c r="I185" s="1044"/>
      <c r="J185" s="84"/>
      <c r="K185" s="1044"/>
      <c r="L185" s="833"/>
      <c r="M185" s="1057">
        <f t="shared" si="66"/>
        <v>4</v>
      </c>
      <c r="N185" s="95">
        <f t="shared" si="72"/>
        <v>0.1</v>
      </c>
      <c r="O185" s="765"/>
      <c r="P185" s="821"/>
      <c r="Q185" s="822"/>
      <c r="R185" s="95"/>
      <c r="S185" s="765">
        <f t="shared" si="73"/>
        <v>34359738.368000001</v>
      </c>
      <c r="T185" s="744" t="s">
        <v>1195</v>
      </c>
      <c r="U185" s="95">
        <v>2.5000000000000001E-2</v>
      </c>
      <c r="V185" s="765">
        <f t="shared" si="70"/>
        <v>858993.45920000004</v>
      </c>
      <c r="W185" s="824">
        <f t="shared" si="67"/>
        <v>2.5000000000000005E-3</v>
      </c>
      <c r="X185" s="765" t="s">
        <v>1144</v>
      </c>
      <c r="Y185" s="732" t="s">
        <v>1047</v>
      </c>
      <c r="Z185" s="1166">
        <v>4</v>
      </c>
      <c r="AA185" s="725"/>
      <c r="AC185" s="695">
        <f t="shared" si="71"/>
        <v>858993.45920000004</v>
      </c>
      <c r="AI185" s="826"/>
      <c r="AJ185" s="727"/>
    </row>
    <row r="186" spans="2:36" x14ac:dyDescent="0.3">
      <c r="B186" s="722"/>
      <c r="C186" s="723"/>
      <c r="D186" s="723"/>
      <c r="I186" s="1044"/>
      <c r="J186" s="67">
        <v>75543543000000</v>
      </c>
      <c r="K186" s="1044"/>
      <c r="L186" s="833"/>
      <c r="M186" s="1057">
        <f t="shared" si="66"/>
        <v>11</v>
      </c>
      <c r="N186" s="95">
        <f t="shared" si="72"/>
        <v>0.1</v>
      </c>
      <c r="O186" s="765"/>
      <c r="P186" s="821"/>
      <c r="Q186" s="822"/>
      <c r="R186" s="95"/>
      <c r="S186" s="765">
        <f t="shared" si="73"/>
        <v>34359738.368000001</v>
      </c>
      <c r="T186" s="823" t="s">
        <v>1196</v>
      </c>
      <c r="U186" s="95">
        <v>2.5000000000000001E-2</v>
      </c>
      <c r="V186" s="765">
        <f t="shared" si="70"/>
        <v>858993.45920000004</v>
      </c>
      <c r="W186" s="824">
        <f t="shared" si="67"/>
        <v>2.5000000000000005E-3</v>
      </c>
      <c r="X186" s="765" t="s">
        <v>1144</v>
      </c>
      <c r="Y186" s="690" t="s">
        <v>1055</v>
      </c>
      <c r="Z186" s="1166">
        <v>11</v>
      </c>
      <c r="AA186" s="725"/>
      <c r="AC186" s="695">
        <f t="shared" si="71"/>
        <v>858993.45920000004</v>
      </c>
      <c r="AI186" s="826"/>
      <c r="AJ186" s="727"/>
    </row>
    <row r="187" spans="2:36" x14ac:dyDescent="0.3">
      <c r="B187" s="722"/>
      <c r="C187" s="723"/>
      <c r="D187" s="723"/>
      <c r="I187" s="1044"/>
      <c r="J187" s="215">
        <v>0.01</v>
      </c>
      <c r="K187" s="1044"/>
      <c r="L187" s="833"/>
      <c r="M187" s="1057">
        <f t="shared" si="66"/>
        <v>5</v>
      </c>
      <c r="N187" s="95">
        <f t="shared" si="72"/>
        <v>0.1</v>
      </c>
      <c r="O187" s="765"/>
      <c r="P187" s="821"/>
      <c r="Q187" s="822"/>
      <c r="R187" s="95"/>
      <c r="S187" s="765">
        <f t="shared" si="73"/>
        <v>34359738.368000001</v>
      </c>
      <c r="T187" s="823" t="s">
        <v>1197</v>
      </c>
      <c r="U187" s="95">
        <v>0.05</v>
      </c>
      <c r="V187" s="765">
        <f t="shared" si="70"/>
        <v>1717986.9184000001</v>
      </c>
      <c r="W187" s="824">
        <f t="shared" si="67"/>
        <v>5.000000000000001E-3</v>
      </c>
      <c r="X187" s="765" t="s">
        <v>1144</v>
      </c>
      <c r="Y187" s="825" t="s">
        <v>1197</v>
      </c>
      <c r="Z187" s="1166">
        <v>5</v>
      </c>
      <c r="AA187" s="725"/>
      <c r="AC187" s="695">
        <f t="shared" si="71"/>
        <v>1717986.9184000001</v>
      </c>
      <c r="AI187" s="826"/>
      <c r="AJ187" s="727"/>
    </row>
    <row r="188" spans="2:36" x14ac:dyDescent="0.3">
      <c r="B188" s="722"/>
      <c r="C188" s="723"/>
      <c r="D188" s="723"/>
      <c r="I188" s="1044"/>
      <c r="J188" s="87">
        <f>J186*J187</f>
        <v>755435430000</v>
      </c>
      <c r="K188" s="1044"/>
      <c r="L188" s="833"/>
      <c r="M188" s="1057">
        <f t="shared" si="66"/>
        <v>1</v>
      </c>
      <c r="N188" s="95">
        <f t="shared" si="72"/>
        <v>0.1</v>
      </c>
      <c r="O188" s="765"/>
      <c r="P188" s="821"/>
      <c r="Q188" s="822"/>
      <c r="R188" s="95"/>
      <c r="S188" s="765">
        <f t="shared" si="73"/>
        <v>34359738.368000001</v>
      </c>
      <c r="T188" s="823" t="s">
        <v>101</v>
      </c>
      <c r="U188" s="95">
        <v>0.1</v>
      </c>
      <c r="V188" s="765">
        <f>S188*U188</f>
        <v>3435973.8368000002</v>
      </c>
      <c r="W188" s="824">
        <f t="shared" si="67"/>
        <v>1.0000000000000002E-2</v>
      </c>
      <c r="X188" s="765" t="s">
        <v>1144</v>
      </c>
      <c r="Y188" s="765" t="s">
        <v>1198</v>
      </c>
      <c r="Z188" s="1166">
        <v>1</v>
      </c>
      <c r="AA188" s="725"/>
      <c r="AC188" s="695">
        <f t="shared" si="71"/>
        <v>3435973.8368000002</v>
      </c>
      <c r="AI188" s="826"/>
      <c r="AJ188" s="727"/>
    </row>
    <row r="189" spans="2:36" x14ac:dyDescent="0.3">
      <c r="B189" s="722"/>
      <c r="C189" s="723"/>
      <c r="D189" s="723"/>
      <c r="I189" s="1044"/>
      <c r="J189" s="382">
        <v>3.125E-2</v>
      </c>
      <c r="K189" s="1044"/>
      <c r="L189" s="833"/>
      <c r="M189" s="1057">
        <f t="shared" si="66"/>
        <v>32</v>
      </c>
      <c r="N189" s="95">
        <f t="shared" si="72"/>
        <v>0.1</v>
      </c>
      <c r="O189" s="765"/>
      <c r="P189" s="821"/>
      <c r="Q189" s="822"/>
      <c r="R189" s="95"/>
      <c r="S189" s="765">
        <f t="shared" si="73"/>
        <v>34359738.368000001</v>
      </c>
      <c r="T189" s="823" t="s">
        <v>148</v>
      </c>
      <c r="U189" s="95">
        <v>0.15</v>
      </c>
      <c r="V189" s="765">
        <f t="shared" ref="V189" si="74">S189*U189</f>
        <v>5153960.7551999995</v>
      </c>
      <c r="W189" s="824">
        <f t="shared" si="67"/>
        <v>1.4999999999999999E-2</v>
      </c>
      <c r="X189" s="765" t="s">
        <v>1144</v>
      </c>
      <c r="Y189" s="836" t="s">
        <v>148</v>
      </c>
      <c r="Z189" s="1166">
        <v>32</v>
      </c>
      <c r="AA189" s="725"/>
      <c r="AC189" s="695">
        <f t="shared" si="71"/>
        <v>5153960.7551999995</v>
      </c>
      <c r="AI189" s="826"/>
      <c r="AJ189" s="727"/>
    </row>
    <row r="190" spans="2:36" ht="16.2" thickBot="1" x14ac:dyDescent="0.35">
      <c r="B190" s="722"/>
      <c r="C190" s="723"/>
      <c r="D190" s="723"/>
      <c r="I190" s="1044"/>
      <c r="J190" s="87">
        <f>J188*J189</f>
        <v>23607357187.5</v>
      </c>
      <c r="K190" s="1044"/>
      <c r="L190" s="819"/>
      <c r="M190" s="1056"/>
      <c r="N190" s="95"/>
      <c r="O190" s="765"/>
      <c r="P190" s="821"/>
      <c r="Q190" s="822"/>
      <c r="R190" s="95"/>
      <c r="S190" s="765"/>
      <c r="T190" s="823"/>
      <c r="U190" s="827">
        <f>SUM(U179:U189)</f>
        <v>1.0000000000000002</v>
      </c>
      <c r="V190" s="765"/>
      <c r="W190" s="824"/>
      <c r="X190" s="765"/>
      <c r="Y190" s="765"/>
      <c r="Z190" s="1166"/>
      <c r="AA190" s="829" t="s">
        <v>1156</v>
      </c>
      <c r="AB190" s="830"/>
      <c r="AC190" s="831" t="s">
        <v>1137</v>
      </c>
      <c r="AD190" s="831" t="s">
        <v>1138</v>
      </c>
      <c r="AE190" s="831" t="s">
        <v>1139</v>
      </c>
      <c r="AF190" s="831" t="s">
        <v>1140</v>
      </c>
      <c r="AG190" s="831" t="s">
        <v>1141</v>
      </c>
      <c r="AH190" s="831" t="s">
        <v>148</v>
      </c>
      <c r="AI190" s="826"/>
      <c r="AJ190" s="727"/>
    </row>
    <row r="191" spans="2:36" ht="7.95" customHeight="1" x14ac:dyDescent="0.3">
      <c r="B191" s="722"/>
      <c r="C191" s="723"/>
      <c r="D191" s="723"/>
      <c r="I191" s="1044"/>
      <c r="J191" s="84"/>
      <c r="K191" s="1044"/>
      <c r="L191" s="724"/>
      <c r="M191" s="1052"/>
      <c r="N191" s="95"/>
      <c r="O191" s="765"/>
      <c r="P191" s="821"/>
      <c r="Q191" s="822"/>
      <c r="R191" s="95"/>
      <c r="S191" s="765"/>
      <c r="T191" s="823"/>
      <c r="U191" s="95"/>
      <c r="V191" s="765"/>
      <c r="W191" s="824"/>
      <c r="X191" s="765"/>
      <c r="Y191" s="765"/>
      <c r="Z191" s="1166"/>
      <c r="AA191" s="725"/>
      <c r="AI191" s="826"/>
      <c r="AJ191" s="727"/>
    </row>
    <row r="192" spans="2:36" ht="17.399999999999999" thickBot="1" x14ac:dyDescent="0.45">
      <c r="B192" s="722"/>
      <c r="C192" s="723"/>
      <c r="D192" s="723"/>
      <c r="I192" s="1044"/>
      <c r="J192" s="84">
        <f>J179</f>
        <v>21474836.48</v>
      </c>
      <c r="K192" s="1044"/>
      <c r="L192" s="724" t="s">
        <v>1199</v>
      </c>
      <c r="M192" s="1052">
        <f>Z192</f>
        <v>16</v>
      </c>
      <c r="N192" s="1172">
        <v>3.125E-2</v>
      </c>
      <c r="O192" s="765">
        <f>J192*N192</f>
        <v>671088.64000000001</v>
      </c>
      <c r="P192" s="821"/>
      <c r="Q192" s="822">
        <f>Q179</f>
        <v>16</v>
      </c>
      <c r="R192" s="95">
        <f>R179</f>
        <v>1</v>
      </c>
      <c r="S192" s="732">
        <f>O192*Q192*R192</f>
        <v>10737418.24</v>
      </c>
      <c r="T192" s="823" t="s">
        <v>1200</v>
      </c>
      <c r="U192" s="827">
        <v>1</v>
      </c>
      <c r="V192" s="765">
        <f t="shared" ref="V192" si="75">S192*U192</f>
        <v>10737418.24</v>
      </c>
      <c r="W192" s="824">
        <f>N192*U192</f>
        <v>3.125E-2</v>
      </c>
      <c r="X192" s="765" t="s">
        <v>1144</v>
      </c>
      <c r="Y192" s="836" t="s">
        <v>1199</v>
      </c>
      <c r="Z192" s="1166">
        <v>16</v>
      </c>
      <c r="AA192" s="725"/>
      <c r="AE192" s="690"/>
      <c r="AG192" s="695">
        <f>V192</f>
        <v>10737418.24</v>
      </c>
      <c r="AI192" s="826"/>
      <c r="AJ192" s="727"/>
    </row>
    <row r="193" spans="2:37" x14ac:dyDescent="0.3">
      <c r="B193" s="722"/>
      <c r="C193" s="723"/>
      <c r="D193" s="723"/>
      <c r="I193" s="1044"/>
      <c r="J193" s="84"/>
      <c r="K193" s="1044"/>
      <c r="L193" s="724"/>
      <c r="M193" s="1052"/>
      <c r="N193" s="95"/>
      <c r="O193" s="765"/>
      <c r="P193" s="821"/>
      <c r="Q193" s="822"/>
      <c r="R193" s="95"/>
      <c r="S193" s="765"/>
      <c r="T193" s="823"/>
      <c r="U193" s="95"/>
      <c r="V193" s="765"/>
      <c r="W193" s="824"/>
      <c r="X193" s="765"/>
      <c r="Y193" s="836"/>
      <c r="Z193" s="1166"/>
      <c r="AA193" s="725"/>
      <c r="AI193" s="826"/>
      <c r="AJ193" s="727"/>
    </row>
    <row r="194" spans="2:37" ht="17.399999999999999" thickBot="1" x14ac:dyDescent="0.45">
      <c r="B194" s="722"/>
      <c r="C194" s="723"/>
      <c r="D194" s="723"/>
      <c r="I194" s="1044"/>
      <c r="J194" s="84">
        <f>J192</f>
        <v>21474836.48</v>
      </c>
      <c r="K194" s="1044"/>
      <c r="L194" s="724" t="s">
        <v>1201</v>
      </c>
      <c r="M194" s="1052">
        <f>Z194</f>
        <v>16</v>
      </c>
      <c r="N194" s="1176">
        <v>3.125E-2</v>
      </c>
      <c r="O194" s="765">
        <f>J194*N194</f>
        <v>671088.64000000001</v>
      </c>
      <c r="P194" s="821"/>
      <c r="Q194" s="822">
        <f>Q192</f>
        <v>16</v>
      </c>
      <c r="R194" s="95">
        <f>R192</f>
        <v>1</v>
      </c>
      <c r="S194" s="732">
        <f>O194*Q194*R194</f>
        <v>10737418.24</v>
      </c>
      <c r="T194" s="823" t="s">
        <v>1202</v>
      </c>
      <c r="U194" s="827">
        <v>1</v>
      </c>
      <c r="V194" s="765">
        <f t="shared" ref="V194" si="76">S194*U194</f>
        <v>10737418.24</v>
      </c>
      <c r="W194" s="824">
        <f>N194*U194</f>
        <v>3.125E-2</v>
      </c>
      <c r="X194" s="765" t="s">
        <v>1144</v>
      </c>
      <c r="Y194" s="836" t="s">
        <v>1202</v>
      </c>
      <c r="Z194" s="1166">
        <v>16</v>
      </c>
      <c r="AA194" s="725"/>
      <c r="AC194" s="695">
        <f>V194</f>
        <v>10737418.24</v>
      </c>
      <c r="AE194" s="690"/>
      <c r="AG194" s="690"/>
      <c r="AI194" s="826"/>
      <c r="AJ194" s="727"/>
    </row>
    <row r="195" spans="2:37" x14ac:dyDescent="0.3">
      <c r="B195" s="722"/>
      <c r="C195" s="723"/>
      <c r="D195" s="723"/>
      <c r="I195" s="1044"/>
      <c r="J195" s="84"/>
      <c r="K195" s="1044"/>
      <c r="L195" s="724"/>
      <c r="M195" s="1052"/>
      <c r="N195" s="95"/>
      <c r="O195" s="765"/>
      <c r="P195" s="821"/>
      <c r="Q195" s="822"/>
      <c r="R195" s="95"/>
      <c r="S195" s="765"/>
      <c r="T195" s="823"/>
      <c r="U195" s="95"/>
      <c r="V195" s="765"/>
      <c r="W195" s="824"/>
      <c r="X195" s="765"/>
      <c r="Y195" s="836"/>
      <c r="Z195" s="1166"/>
      <c r="AA195" s="725"/>
      <c r="AI195" s="826"/>
      <c r="AJ195" s="727"/>
    </row>
    <row r="196" spans="2:37" ht="17.399999999999999" thickBot="1" x14ac:dyDescent="0.45">
      <c r="B196" s="722"/>
      <c r="C196" s="723"/>
      <c r="D196" s="723"/>
      <c r="I196" s="1044"/>
      <c r="J196" s="84">
        <f>J194</f>
        <v>21474836.48</v>
      </c>
      <c r="K196" s="1044"/>
      <c r="L196" s="724" t="s">
        <v>1203</v>
      </c>
      <c r="M196" s="1052">
        <f>Z196</f>
        <v>7</v>
      </c>
      <c r="N196" s="1172">
        <v>0.01</v>
      </c>
      <c r="O196" s="765">
        <f>J196*N196</f>
        <v>214748.36480000001</v>
      </c>
      <c r="P196" s="821"/>
      <c r="Q196" s="822">
        <f>Q194</f>
        <v>16</v>
      </c>
      <c r="R196" s="95">
        <f>R194</f>
        <v>1</v>
      </c>
      <c r="S196" s="732">
        <f>O196*Q196*R196</f>
        <v>3435973.8368000002</v>
      </c>
      <c r="T196" s="690" t="s">
        <v>1204</v>
      </c>
      <c r="U196" s="827">
        <v>1</v>
      </c>
      <c r="V196" s="765">
        <f t="shared" ref="V196" si="77">S196*U196</f>
        <v>3435973.8368000002</v>
      </c>
      <c r="W196" s="824">
        <f>N196*U196</f>
        <v>0.01</v>
      </c>
      <c r="X196" s="765" t="s">
        <v>1144</v>
      </c>
      <c r="Y196" s="690" t="s">
        <v>1051</v>
      </c>
      <c r="Z196" s="1166">
        <v>7</v>
      </c>
      <c r="AA196" s="725"/>
      <c r="AE196" s="695">
        <f>V196</f>
        <v>3435973.8368000002</v>
      </c>
      <c r="AI196" s="826"/>
      <c r="AJ196" s="727"/>
    </row>
    <row r="197" spans="2:37" x14ac:dyDescent="0.3">
      <c r="B197" s="722"/>
      <c r="C197" s="723"/>
      <c r="D197" s="723"/>
      <c r="I197" s="1044"/>
      <c r="J197" s="84"/>
      <c r="K197" s="1044"/>
      <c r="L197" s="724"/>
      <c r="M197" s="1052"/>
      <c r="N197" s="95"/>
      <c r="O197" s="765"/>
      <c r="P197" s="821"/>
      <c r="Q197" s="822"/>
      <c r="R197" s="95"/>
      <c r="S197" s="765"/>
      <c r="T197" s="823"/>
      <c r="U197" s="95"/>
      <c r="V197" s="765"/>
      <c r="W197" s="824"/>
      <c r="X197" s="765"/>
      <c r="Y197" s="836"/>
      <c r="Z197" s="1166"/>
      <c r="AA197" s="725"/>
      <c r="AI197" s="826"/>
      <c r="AJ197" s="727"/>
    </row>
    <row r="198" spans="2:37" ht="17.399999999999999" thickBot="1" x14ac:dyDescent="0.45">
      <c r="B198" s="722"/>
      <c r="C198" s="723"/>
      <c r="D198" s="723"/>
      <c r="I198" s="1044"/>
      <c r="J198" s="84">
        <f>J196</f>
        <v>21474836.48</v>
      </c>
      <c r="K198" s="1044"/>
      <c r="L198" s="724" t="s">
        <v>1205</v>
      </c>
      <c r="M198" s="1052">
        <f>Z198</f>
        <v>11</v>
      </c>
      <c r="N198" s="1172">
        <v>0.01</v>
      </c>
      <c r="O198" s="765">
        <f>J198*N198</f>
        <v>214748.36480000001</v>
      </c>
      <c r="P198" s="821"/>
      <c r="Q198" s="822">
        <f>Q196</f>
        <v>16</v>
      </c>
      <c r="R198" s="95">
        <f>R194</f>
        <v>1</v>
      </c>
      <c r="S198" s="732">
        <f>O198*Q198*R198</f>
        <v>3435973.8368000002</v>
      </c>
      <c r="T198" s="823" t="s">
        <v>763</v>
      </c>
      <c r="U198" s="827">
        <v>1</v>
      </c>
      <c r="V198" s="765">
        <f t="shared" ref="V198" si="78">S198*U198</f>
        <v>3435973.8368000002</v>
      </c>
      <c r="W198" s="824">
        <f>N198*U198</f>
        <v>0.01</v>
      </c>
      <c r="X198" s="765" t="s">
        <v>1144</v>
      </c>
      <c r="Y198" s="690" t="s">
        <v>1055</v>
      </c>
      <c r="Z198" s="1166">
        <v>11</v>
      </c>
      <c r="AA198" s="725"/>
      <c r="AC198" s="695">
        <f>V198</f>
        <v>3435973.8368000002</v>
      </c>
      <c r="AI198" s="826"/>
      <c r="AJ198" s="727"/>
    </row>
    <row r="199" spans="2:37" x14ac:dyDescent="0.3">
      <c r="B199" s="722"/>
      <c r="C199" s="723"/>
      <c r="D199" s="723"/>
      <c r="I199" s="1044"/>
      <c r="J199" s="84"/>
      <c r="K199" s="1044"/>
      <c r="L199" s="724"/>
      <c r="M199" s="1052"/>
      <c r="N199" s="95"/>
      <c r="O199" s="765"/>
      <c r="P199" s="821"/>
      <c r="Q199" s="822"/>
      <c r="R199" s="95"/>
      <c r="S199" s="765"/>
      <c r="T199" s="823"/>
      <c r="U199" s="95"/>
      <c r="V199" s="765"/>
      <c r="W199" s="824"/>
      <c r="X199" s="765"/>
      <c r="Y199" s="836"/>
      <c r="Z199" s="1166"/>
      <c r="AA199" s="725"/>
      <c r="AI199" s="826"/>
      <c r="AJ199" s="727"/>
    </row>
    <row r="200" spans="2:37" ht="17.399999999999999" thickBot="1" x14ac:dyDescent="0.45">
      <c r="J200" s="41">
        <f>J198</f>
        <v>21474836.48</v>
      </c>
      <c r="L200" s="724" t="s">
        <v>1206</v>
      </c>
      <c r="M200" s="1052">
        <f>Z200</f>
        <v>5</v>
      </c>
      <c r="N200" s="1172">
        <v>0.01</v>
      </c>
      <c r="O200" s="765">
        <f>J200*N200</f>
        <v>214748.36480000001</v>
      </c>
      <c r="P200" s="821"/>
      <c r="Q200" s="822">
        <f>Q198</f>
        <v>16</v>
      </c>
      <c r="R200" s="95">
        <f>R198</f>
        <v>1</v>
      </c>
      <c r="S200" s="732">
        <f>O200*Q200*R200</f>
        <v>3435973.8368000002</v>
      </c>
      <c r="T200" s="823" t="s">
        <v>1207</v>
      </c>
      <c r="U200" s="827">
        <v>1</v>
      </c>
      <c r="V200" s="765">
        <f t="shared" ref="V200" si="79">S200*U200</f>
        <v>3435973.8368000002</v>
      </c>
      <c r="W200" s="824">
        <f>N200*U200</f>
        <v>0.01</v>
      </c>
      <c r="X200" s="765" t="s">
        <v>1144</v>
      </c>
      <c r="Y200" s="825" t="s">
        <v>1197</v>
      </c>
      <c r="Z200" s="1166">
        <v>5</v>
      </c>
      <c r="AA200" s="725"/>
      <c r="AF200" s="695">
        <f>V200</f>
        <v>3435973.8368000002</v>
      </c>
      <c r="AI200" s="826"/>
      <c r="AJ200" s="727"/>
    </row>
    <row r="201" spans="2:37" x14ac:dyDescent="0.3">
      <c r="B201" s="722"/>
      <c r="C201" s="723"/>
      <c r="D201" s="723"/>
      <c r="I201" s="1044"/>
      <c r="J201" s="84"/>
      <c r="K201" s="1044"/>
      <c r="L201" s="724"/>
      <c r="M201" s="1052"/>
      <c r="N201" s="95"/>
      <c r="O201" s="765"/>
      <c r="P201" s="821"/>
      <c r="Q201" s="822"/>
      <c r="R201" s="95"/>
      <c r="S201" s="765"/>
      <c r="T201" s="823"/>
      <c r="U201" s="95"/>
      <c r="V201" s="765"/>
      <c r="W201" s="824"/>
      <c r="X201" s="765"/>
      <c r="Y201" s="836"/>
      <c r="Z201" s="1166"/>
      <c r="AA201" s="725"/>
      <c r="AI201" s="826"/>
      <c r="AJ201" s="727"/>
    </row>
    <row r="202" spans="2:37" ht="17.399999999999999" thickBot="1" x14ac:dyDescent="0.45">
      <c r="B202" s="722"/>
      <c r="C202" s="723"/>
      <c r="D202" s="723"/>
      <c r="I202" s="1044"/>
      <c r="J202" s="84">
        <f>J200</f>
        <v>21474836.48</v>
      </c>
      <c r="K202" s="1044"/>
      <c r="L202" s="724" t="s">
        <v>1208</v>
      </c>
      <c r="M202" s="1052">
        <f>Z202</f>
        <v>32</v>
      </c>
      <c r="N202" s="1172">
        <v>2.2499999999999999E-2</v>
      </c>
      <c r="O202" s="765">
        <f>J202*N202</f>
        <v>483183.82079999999</v>
      </c>
      <c r="P202" s="821"/>
      <c r="Q202" s="822">
        <f>Q200</f>
        <v>16</v>
      </c>
      <c r="R202" s="95">
        <f>R200</f>
        <v>1</v>
      </c>
      <c r="S202" s="732">
        <f>O202*Q202*R202</f>
        <v>7730941.1327999998</v>
      </c>
      <c r="T202" s="823" t="s">
        <v>148</v>
      </c>
      <c r="U202" s="94">
        <v>1</v>
      </c>
      <c r="V202" s="765">
        <f t="shared" ref="V202" si="80">S202*U202</f>
        <v>7730941.1327999998</v>
      </c>
      <c r="W202" s="824">
        <f>N202*U202</f>
        <v>2.2499999999999999E-2</v>
      </c>
      <c r="X202" s="765" t="s">
        <v>1144</v>
      </c>
      <c r="Y202" s="765" t="s">
        <v>148</v>
      </c>
      <c r="Z202" s="1166">
        <v>32</v>
      </c>
      <c r="AA202" s="725"/>
      <c r="AF202" s="695">
        <f>V202</f>
        <v>7730941.1327999998</v>
      </c>
      <c r="AI202" s="826"/>
      <c r="AJ202" s="727"/>
    </row>
    <row r="203" spans="2:37" ht="16.8" x14ac:dyDescent="0.4">
      <c r="B203" s="722"/>
      <c r="C203" s="723"/>
      <c r="D203" s="723"/>
      <c r="I203" s="1044"/>
      <c r="J203" s="84"/>
      <c r="K203" s="1044"/>
      <c r="L203" s="724"/>
      <c r="M203" s="1052"/>
      <c r="N203" s="1174"/>
      <c r="O203" s="765"/>
      <c r="P203" s="821"/>
      <c r="Q203" s="822"/>
      <c r="R203" s="95"/>
      <c r="S203" s="732"/>
      <c r="T203" s="823"/>
      <c r="U203" s="95"/>
      <c r="V203" s="765"/>
      <c r="W203" s="824"/>
      <c r="X203" s="765"/>
      <c r="Y203" s="765"/>
      <c r="Z203" s="1166"/>
      <c r="AA203" s="725"/>
      <c r="AI203" s="826"/>
      <c r="AJ203" s="727"/>
    </row>
    <row r="204" spans="2:37" x14ac:dyDescent="0.3">
      <c r="B204" s="722"/>
      <c r="C204" s="723"/>
      <c r="D204" s="723"/>
      <c r="I204" s="1044"/>
      <c r="J204" s="84"/>
      <c r="K204" s="1044"/>
      <c r="L204" s="724"/>
      <c r="M204" s="1052"/>
      <c r="N204" s="95"/>
      <c r="O204" s="765"/>
      <c r="P204" s="821"/>
      <c r="Q204" s="837"/>
      <c r="R204" s="95"/>
      <c r="S204" s="765"/>
      <c r="T204" s="823"/>
      <c r="U204" s="95"/>
      <c r="V204" s="765"/>
      <c r="W204" s="824"/>
      <c r="X204" s="765"/>
      <c r="Y204" s="765"/>
      <c r="Z204" s="1166"/>
      <c r="AA204" s="829" t="s">
        <v>1156</v>
      </c>
      <c r="AB204" s="830"/>
      <c r="AC204" s="831" t="s">
        <v>1137</v>
      </c>
      <c r="AD204" s="831" t="s">
        <v>1138</v>
      </c>
      <c r="AE204" s="831" t="s">
        <v>1139</v>
      </c>
      <c r="AF204" s="831" t="s">
        <v>1140</v>
      </c>
      <c r="AG204" s="831" t="s">
        <v>1141</v>
      </c>
      <c r="AH204" s="831" t="s">
        <v>148</v>
      </c>
      <c r="AI204" s="826"/>
      <c r="AJ204" s="838" t="s">
        <v>1209</v>
      </c>
      <c r="AK204" s="839"/>
    </row>
    <row r="205" spans="2:37" ht="19.2" thickBot="1" x14ac:dyDescent="0.5">
      <c r="B205" s="722"/>
      <c r="C205" s="723"/>
      <c r="D205" s="723"/>
      <c r="I205" s="1044"/>
      <c r="J205" s="84"/>
      <c r="K205" s="1044"/>
      <c r="L205" s="724"/>
      <c r="M205" s="1052"/>
      <c r="N205" s="1175">
        <f>N115+N122+N142+N144+N126+N128+N132+N140+N146+N156+N158+N148+N150+N152+N154+N164+N167+N179+N160+N162+N192+N194+N196+N198+N200+N202</f>
        <v>1.0000000000000002</v>
      </c>
      <c r="O205" s="840">
        <f>SUM(O114:O204)</f>
        <v>21474836.479999997</v>
      </c>
      <c r="P205" s="821"/>
      <c r="Q205" s="837"/>
      <c r="R205" s="95"/>
      <c r="S205" s="841">
        <f>S115+S122+S142+S144+S126+S128+S132+S140+S146+S156+S158+S148+S150+S152+S154+S164+S167+S179+S160+S162+S192+S194+S196+S198+S200+S202</f>
        <v>343597383.67999995</v>
      </c>
      <c r="T205" s="823"/>
      <c r="U205" s="95"/>
      <c r="V205" s="840">
        <f>SUM(V114:V204)</f>
        <v>343597383.67999995</v>
      </c>
      <c r="W205" s="842">
        <f>SUM(W114:W204)</f>
        <v>1.0000000000000004</v>
      </c>
      <c r="X205" s="765"/>
      <c r="Y205" s="765"/>
      <c r="Z205" s="1166"/>
      <c r="AA205" s="725"/>
      <c r="AB205" s="690"/>
      <c r="AC205" s="843">
        <v>1</v>
      </c>
      <c r="AD205" s="843">
        <v>0.75</v>
      </c>
      <c r="AE205" s="843">
        <v>0.5</v>
      </c>
      <c r="AF205" s="843">
        <v>0.25</v>
      </c>
      <c r="AG205" s="843">
        <v>0</v>
      </c>
      <c r="AH205" s="843">
        <v>0.5</v>
      </c>
      <c r="AI205" s="826"/>
      <c r="AJ205" s="838"/>
      <c r="AK205" s="839"/>
    </row>
    <row r="206" spans="2:37" x14ac:dyDescent="0.3">
      <c r="B206" s="722"/>
      <c r="C206" s="723"/>
      <c r="D206" s="723"/>
      <c r="I206" s="1044"/>
      <c r="J206" s="84"/>
      <c r="K206" s="1044"/>
      <c r="L206" s="724"/>
      <c r="M206" s="1052"/>
      <c r="N206" s="95">
        <f>N115+N122+N126+N128+N132+N140+N142+N144+N146+N148+N150+N152+N154+N156+N158+N160+N162+N164+N167+N179+N192+N194+N196+N198+N200+N202</f>
        <v>1.0000000000000002</v>
      </c>
      <c r="O206" s="765"/>
      <c r="P206" s="821"/>
      <c r="Q206" s="837"/>
      <c r="R206" s="95"/>
      <c r="S206" s="765">
        <f>Q200</f>
        <v>16</v>
      </c>
      <c r="T206" s="823"/>
      <c r="U206" s="95"/>
      <c r="V206" s="765"/>
      <c r="W206" s="824"/>
      <c r="X206" s="765"/>
      <c r="Y206" s="765"/>
      <c r="Z206" s="1166"/>
      <c r="AA206" s="725" t="s">
        <v>1210</v>
      </c>
      <c r="AB206" s="691"/>
      <c r="AC206" s="844">
        <f t="shared" ref="AC206:AH206" si="81">SUM(AC115:AC204)</f>
        <v>123695058.12479998</v>
      </c>
      <c r="AD206" s="844">
        <f t="shared" si="81"/>
        <v>32641751.449600004</v>
      </c>
      <c r="AE206" s="844">
        <f t="shared" si="81"/>
        <v>127388729.99936002</v>
      </c>
      <c r="AF206" s="844">
        <f t="shared" si="81"/>
        <v>26628797.235200003</v>
      </c>
      <c r="AG206" s="844">
        <f t="shared" si="81"/>
        <v>17781164.605440002</v>
      </c>
      <c r="AH206" s="844">
        <f t="shared" si="81"/>
        <v>17609365.913600001</v>
      </c>
      <c r="AI206" s="826"/>
      <c r="AJ206" s="838" t="s">
        <v>1211</v>
      </c>
      <c r="AK206" s="839"/>
    </row>
    <row r="207" spans="2:37" x14ac:dyDescent="0.3">
      <c r="B207" s="722"/>
      <c r="C207" s="723"/>
      <c r="D207" s="723"/>
      <c r="L207" s="724"/>
      <c r="M207" s="1052"/>
      <c r="P207" s="794"/>
      <c r="Q207" s="845"/>
      <c r="S207" s="690">
        <f>S205/S206</f>
        <v>21474836.479999997</v>
      </c>
      <c r="Z207" s="1166"/>
      <c r="AA207" s="725" t="s">
        <v>1212</v>
      </c>
      <c r="AC207" s="695">
        <f>AC205*AC206</f>
        <v>123695058.12479998</v>
      </c>
      <c r="AD207" s="695">
        <f t="shared" ref="AD207:AH207" si="82">AD205*AD206</f>
        <v>24481313.587200001</v>
      </c>
      <c r="AE207" s="695">
        <f t="shared" si="82"/>
        <v>63694364.999680012</v>
      </c>
      <c r="AF207" s="695">
        <f t="shared" si="82"/>
        <v>6657199.3088000007</v>
      </c>
      <c r="AG207" s="695">
        <f t="shared" si="82"/>
        <v>0</v>
      </c>
      <c r="AH207" s="695">
        <f t="shared" si="82"/>
        <v>8804682.9568000007</v>
      </c>
      <c r="AI207" s="826">
        <f>SUM(AC207:AH207)</f>
        <v>227332618.97728002</v>
      </c>
      <c r="AJ207" s="838" t="s">
        <v>1213</v>
      </c>
      <c r="AK207" s="839"/>
    </row>
    <row r="208" spans="2:37" x14ac:dyDescent="0.3">
      <c r="J208" s="41">
        <f>J202</f>
        <v>21474836.48</v>
      </c>
      <c r="L208" s="724"/>
      <c r="M208" s="1052"/>
      <c r="P208" s="794"/>
      <c r="Q208" s="845"/>
      <c r="Z208" s="1166"/>
      <c r="AA208" s="725" t="s">
        <v>1214</v>
      </c>
      <c r="AI208" s="826">
        <f>G36</f>
        <v>16</v>
      </c>
      <c r="AJ208" s="838" t="s">
        <v>1215</v>
      </c>
      <c r="AK208" s="839"/>
    </row>
    <row r="209" spans="1:37" x14ac:dyDescent="0.3">
      <c r="L209" s="846"/>
      <c r="M209" s="1052"/>
      <c r="P209" s="794"/>
      <c r="Q209" s="845"/>
      <c r="Z209" s="1167"/>
      <c r="AA209" s="725" t="s">
        <v>1216</v>
      </c>
      <c r="AI209" s="847">
        <f>AI207/AI208</f>
        <v>14208288.686080001</v>
      </c>
      <c r="AJ209" s="838" t="s">
        <v>1217</v>
      </c>
      <c r="AK209" s="839"/>
    </row>
    <row r="210" spans="1:37" x14ac:dyDescent="0.3">
      <c r="L210" s="767"/>
      <c r="M210" s="1052"/>
      <c r="P210" s="794"/>
      <c r="Q210" s="845"/>
      <c r="Z210" s="1030"/>
      <c r="AA210" s="725" t="s">
        <v>1218</v>
      </c>
      <c r="AI210" s="847">
        <f>J114</f>
        <v>21474836.48</v>
      </c>
      <c r="AJ210" s="838" t="s">
        <v>1219</v>
      </c>
      <c r="AK210" s="839"/>
    </row>
    <row r="211" spans="1:37" x14ac:dyDescent="0.3">
      <c r="L211" s="767"/>
      <c r="M211" s="1052"/>
      <c r="P211" s="794"/>
      <c r="Q211" s="845"/>
      <c r="Z211" s="1030"/>
      <c r="AA211" s="725"/>
      <c r="AH211" s="695" t="s">
        <v>1499</v>
      </c>
      <c r="AI211" s="1267">
        <f>AI209/AI210</f>
        <v>0.66162500000000002</v>
      </c>
      <c r="AJ211" s="848" t="s">
        <v>1220</v>
      </c>
      <c r="AK211" s="849"/>
    </row>
    <row r="212" spans="1:37" x14ac:dyDescent="0.3">
      <c r="L212" s="767"/>
      <c r="M212" s="1052"/>
      <c r="P212" s="794"/>
      <c r="Q212" s="845"/>
      <c r="Z212" s="1030"/>
      <c r="AA212" s="725"/>
      <c r="AI212" s="850" t="s">
        <v>1003</v>
      </c>
      <c r="AJ212" s="851"/>
      <c r="AK212" s="852"/>
    </row>
    <row r="213" spans="1:37" x14ac:dyDescent="0.3">
      <c r="A213" s="853"/>
      <c r="B213" s="853"/>
      <c r="C213" s="853"/>
      <c r="D213" s="853"/>
      <c r="E213" s="1026"/>
      <c r="F213" s="853"/>
      <c r="G213" s="1036"/>
      <c r="H213" s="853"/>
      <c r="I213" s="1048"/>
      <c r="J213" s="854"/>
      <c r="K213" s="1048"/>
      <c r="L213" s="855"/>
      <c r="M213" s="1058"/>
      <c r="N213" s="856"/>
      <c r="O213" s="853"/>
      <c r="P213" s="853"/>
      <c r="Q213" s="854"/>
      <c r="R213" s="856"/>
      <c r="S213" s="853"/>
      <c r="T213" s="857"/>
      <c r="U213" s="856"/>
      <c r="V213" s="853"/>
      <c r="W213" s="858"/>
      <c r="X213" s="853"/>
      <c r="Y213" s="853"/>
      <c r="Z213" s="1036"/>
      <c r="AA213" s="859"/>
      <c r="AB213" s="860"/>
      <c r="AC213" s="861"/>
      <c r="AD213" s="861"/>
      <c r="AE213" s="861"/>
      <c r="AF213" s="861"/>
      <c r="AG213" s="861"/>
      <c r="AH213" s="861"/>
      <c r="AI213" s="862"/>
      <c r="AJ213" s="863"/>
    </row>
    <row r="214" spans="1:37" x14ac:dyDescent="0.3">
      <c r="AJ214" s="727"/>
    </row>
    <row r="215" spans="1:37" x14ac:dyDescent="0.3">
      <c r="AI215" s="826"/>
      <c r="AJ215" s="727"/>
    </row>
    <row r="216" spans="1:37" x14ac:dyDescent="0.3">
      <c r="AI216" s="826"/>
      <c r="AJ216" s="727"/>
    </row>
    <row r="217" spans="1:37" x14ac:dyDescent="0.3">
      <c r="AI217" s="826"/>
      <c r="AJ217" s="72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2A572-FAA1-4E60-90A1-45105C1C3385}">
  <dimension ref="A1:BZ217"/>
  <sheetViews>
    <sheetView topLeftCell="AH194" workbookViewId="0">
      <selection activeCell="AM216" sqref="AM216"/>
    </sheetView>
  </sheetViews>
  <sheetFormatPr defaultRowHeight="15.6" x14ac:dyDescent="0.3"/>
  <cols>
    <col min="1" max="1" width="8.88671875" style="690"/>
    <col min="2" max="2" width="11.6640625" style="691" bestFit="1" customWidth="1"/>
    <col min="3" max="3" width="9.77734375" style="690" customWidth="1"/>
    <col min="4" max="4" width="22.6640625" style="690" bestFit="1" customWidth="1"/>
    <col min="5" max="5" width="7.33203125" style="1010" customWidth="1"/>
    <col min="6" max="6" width="48.5546875" style="690" customWidth="1"/>
    <col min="7" max="7" width="9.44140625" style="947" bestFit="1" customWidth="1"/>
    <col min="8" max="8" width="25.5546875" style="690" bestFit="1" customWidth="1"/>
    <col min="9" max="9" width="8.33203125" style="938" customWidth="1"/>
    <col min="10" max="10" width="22.33203125" style="690" bestFit="1" customWidth="1"/>
    <col min="11" max="11" width="12.21875" style="938" bestFit="1" customWidth="1"/>
    <col min="12" max="12" width="57.44140625" style="692" customWidth="1"/>
    <col min="13" max="13" width="5.77734375" style="1059" customWidth="1"/>
    <col min="14" max="14" width="14.77734375" style="32" bestFit="1" customWidth="1"/>
    <col min="15" max="15" width="18.6640625" style="690" bestFit="1" customWidth="1"/>
    <col min="16" max="16" width="8.33203125" style="690" bestFit="1" customWidth="1"/>
    <col min="17" max="17" width="12.109375" style="690" bestFit="1" customWidth="1"/>
    <col min="18" max="18" width="7.88671875" style="32" bestFit="1" customWidth="1"/>
    <col min="19" max="19" width="24.109375" style="690" bestFit="1" customWidth="1"/>
    <col min="20" max="20" width="28.109375" style="693" bestFit="1" customWidth="1"/>
    <col min="21" max="21" width="7.21875" style="32" bestFit="1" customWidth="1"/>
    <col min="22" max="22" width="18.6640625" style="690" bestFit="1" customWidth="1"/>
    <col min="23" max="23" width="9.77734375" style="80" bestFit="1" customWidth="1"/>
    <col min="24" max="24" width="3.33203125" style="690" bestFit="1" customWidth="1"/>
    <col min="25" max="25" width="42.88671875" style="690" bestFit="1" customWidth="1"/>
    <col min="26" max="26" width="8.44140625" style="947" bestFit="1" customWidth="1"/>
    <col min="27" max="27" width="24.33203125" style="864" bestFit="1" customWidth="1"/>
    <col min="28" max="28" width="5.88671875" style="695" bestFit="1" customWidth="1"/>
    <col min="29" max="29" width="17.5546875" style="695" bestFit="1" customWidth="1"/>
    <col min="30" max="30" width="16.33203125" style="695" bestFit="1" customWidth="1"/>
    <col min="31" max="32" width="17.5546875" style="695" bestFit="1" customWidth="1"/>
    <col min="33" max="33" width="19.33203125" style="695" bestFit="1" customWidth="1"/>
    <col min="34" max="34" width="17.5546875" style="695" bestFit="1" customWidth="1"/>
    <col min="35" max="35" width="18.6640625" style="690" bestFit="1" customWidth="1"/>
    <col min="36" max="36" width="24.21875" style="865" bestFit="1" customWidth="1"/>
    <col min="37" max="37" width="24.21875" style="698" customWidth="1"/>
    <col min="38" max="38" width="27.5546875" style="690" bestFit="1" customWidth="1"/>
    <col min="39" max="39" width="32" style="690" bestFit="1" customWidth="1"/>
    <col min="40" max="40" width="18.77734375" style="690" customWidth="1"/>
    <col min="41" max="41" width="19.109375" style="690" customWidth="1"/>
    <col min="42" max="45" width="9" style="690" bestFit="1" customWidth="1"/>
    <col min="46" max="46" width="9" style="791" bestFit="1" customWidth="1"/>
    <col min="47" max="53" width="9" style="690" bestFit="1" customWidth="1"/>
    <col min="54" max="54" width="9" style="791" bestFit="1" customWidth="1"/>
    <col min="55" max="61" width="9" style="690" bestFit="1" customWidth="1"/>
    <col min="62" max="62" width="9" style="791" bestFit="1" customWidth="1"/>
    <col min="63" max="69" width="9" style="690" bestFit="1" customWidth="1"/>
    <col min="70" max="70" width="8.88671875" style="691"/>
    <col min="71" max="75" width="8.88671875" style="690"/>
    <col min="76" max="76" width="14.21875" style="690" customWidth="1"/>
    <col min="77" max="77" width="15.88671875" style="690" customWidth="1"/>
    <col min="78" max="78" width="6" style="700" customWidth="1"/>
    <col min="79" max="16384" width="8.88671875" style="690"/>
  </cols>
  <sheetData>
    <row r="1" spans="1:78" x14ac:dyDescent="0.3">
      <c r="M1" s="1050"/>
      <c r="AA1" s="694"/>
      <c r="AI1" s="696"/>
      <c r="AJ1" s="697"/>
    </row>
    <row r="2" spans="1:78" s="708" customFormat="1" ht="25.2" x14ac:dyDescent="0.6">
      <c r="A2" s="701"/>
      <c r="B2" s="702" t="s">
        <v>1026</v>
      </c>
      <c r="E2" s="1011"/>
      <c r="F2" s="705" t="s">
        <v>1027</v>
      </c>
      <c r="G2" s="1027"/>
      <c r="H2" s="707" t="s">
        <v>1028</v>
      </c>
      <c r="I2" s="1037"/>
      <c r="K2" s="1060"/>
      <c r="L2" s="710" t="s">
        <v>1029</v>
      </c>
      <c r="M2" s="1051"/>
      <c r="N2" s="1169" t="s">
        <v>1030</v>
      </c>
      <c r="R2" s="713"/>
      <c r="T2" s="714"/>
      <c r="U2" s="713"/>
      <c r="W2" s="715"/>
      <c r="Z2" s="1027"/>
      <c r="AA2" s="716"/>
      <c r="AB2" s="717"/>
      <c r="AC2" s="718"/>
      <c r="AD2" s="718"/>
      <c r="AE2" s="718"/>
      <c r="AF2" s="718"/>
      <c r="AG2" s="718"/>
      <c r="AH2" s="718"/>
      <c r="AJ2" s="719"/>
      <c r="AT2" s="720"/>
      <c r="BB2" s="720"/>
      <c r="BJ2" s="720"/>
      <c r="BZ2" s="721"/>
    </row>
    <row r="3" spans="1:78" x14ac:dyDescent="0.3">
      <c r="B3" s="722"/>
      <c r="C3" s="723"/>
      <c r="D3" s="723"/>
      <c r="L3" s="724"/>
      <c r="M3" s="1052"/>
      <c r="AA3" s="725"/>
      <c r="AI3" s="726"/>
      <c r="AJ3" s="727"/>
    </row>
    <row r="4" spans="1:78" x14ac:dyDescent="0.3">
      <c r="B4" s="728">
        <v>1</v>
      </c>
      <c r="C4" s="729"/>
      <c r="D4" s="730" t="s">
        <v>1031</v>
      </c>
      <c r="E4" s="1011"/>
      <c r="F4" s="731" t="s">
        <v>1032</v>
      </c>
      <c r="G4" s="1027"/>
      <c r="H4" s="708" t="s">
        <v>1033</v>
      </c>
      <c r="I4" s="1037"/>
      <c r="J4" s="709" t="s">
        <v>763</v>
      </c>
      <c r="L4" s="724"/>
      <c r="M4" s="1052"/>
      <c r="AA4" s="725"/>
      <c r="AI4" s="726"/>
      <c r="AJ4" s="727"/>
    </row>
    <row r="5" spans="1:78" x14ac:dyDescent="0.3">
      <c r="B5" s="728">
        <v>0.5</v>
      </c>
      <c r="C5" s="723"/>
      <c r="D5" s="734">
        <f>'POP Dimensions'!L17</f>
        <v>2748779069.4400001</v>
      </c>
      <c r="E5" s="1012"/>
      <c r="F5" s="32">
        <v>0.25</v>
      </c>
      <c r="G5" s="1015"/>
      <c r="H5" s="734">
        <f>D5*F5</f>
        <v>687194767.36000001</v>
      </c>
      <c r="I5" s="989"/>
      <c r="J5" s="735">
        <f>'[1]POP Dimensions'!H15</f>
        <v>10737418.24</v>
      </c>
      <c r="L5" s="724"/>
      <c r="M5" s="1052"/>
      <c r="AA5" s="725"/>
      <c r="AI5" s="726"/>
      <c r="AJ5" s="727"/>
    </row>
    <row r="6" spans="1:78" x14ac:dyDescent="0.3">
      <c r="B6" s="736">
        <v>0.25</v>
      </c>
      <c r="C6" s="723"/>
      <c r="D6" s="1495">
        <v>128</v>
      </c>
      <c r="E6" s="1013" t="s">
        <v>1034</v>
      </c>
      <c r="F6" s="738"/>
      <c r="G6" s="1015"/>
      <c r="H6" s="734"/>
      <c r="I6" s="989"/>
      <c r="J6" s="938">
        <f>H5/J5*2</f>
        <v>128</v>
      </c>
      <c r="L6" s="724"/>
      <c r="M6" s="1052"/>
      <c r="AA6" s="725"/>
      <c r="AI6" s="726"/>
      <c r="AJ6" s="727"/>
    </row>
    <row r="7" spans="1:78" x14ac:dyDescent="0.3">
      <c r="B7" s="1496">
        <f>B6/2</f>
        <v>0.125</v>
      </c>
      <c r="C7" s="739"/>
      <c r="D7" s="740" t="s">
        <v>1035</v>
      </c>
      <c r="E7" s="1014" t="s">
        <v>1036</v>
      </c>
      <c r="F7" s="741" t="s">
        <v>1037</v>
      </c>
      <c r="G7" s="1014" t="s">
        <v>1038</v>
      </c>
      <c r="H7" s="741" t="s">
        <v>1039</v>
      </c>
      <c r="I7" s="1038"/>
      <c r="J7" s="742" t="s">
        <v>1040</v>
      </c>
      <c r="K7" s="1061"/>
      <c r="L7" s="724"/>
      <c r="M7" s="1052"/>
      <c r="AA7" s="725"/>
      <c r="AI7" s="726"/>
      <c r="AJ7" s="727"/>
    </row>
    <row r="8" spans="1:78" x14ac:dyDescent="0.3">
      <c r="B8" s="1497">
        <v>6.25E-2</v>
      </c>
      <c r="C8" s="743"/>
      <c r="D8" s="723"/>
      <c r="E8" s="1015" t="s">
        <v>1041</v>
      </c>
      <c r="F8" s="744" t="s">
        <v>1042</v>
      </c>
      <c r="G8" s="1015"/>
      <c r="H8" s="744"/>
      <c r="I8" s="989"/>
      <c r="J8" s="734"/>
      <c r="K8" s="1062"/>
      <c r="L8" s="746"/>
      <c r="M8" s="1052"/>
      <c r="AA8" s="725"/>
      <c r="AI8" s="726"/>
      <c r="AJ8" s="727"/>
    </row>
    <row r="9" spans="1:78" x14ac:dyDescent="0.3">
      <c r="B9" s="736"/>
      <c r="C9" s="743"/>
      <c r="D9" s="723"/>
      <c r="E9" s="1015" t="s">
        <v>1043</v>
      </c>
      <c r="F9" s="744" t="s">
        <v>1044</v>
      </c>
      <c r="G9" s="1015"/>
      <c r="H9" s="744"/>
      <c r="I9" s="989"/>
      <c r="J9" s="734"/>
      <c r="K9" s="1062"/>
      <c r="L9" s="746"/>
      <c r="M9" s="1052"/>
      <c r="AA9" s="725"/>
      <c r="AI9" s="726"/>
      <c r="AJ9" s="727"/>
    </row>
    <row r="10" spans="1:78" x14ac:dyDescent="0.3">
      <c r="B10" s="1498">
        <f>B8/2</f>
        <v>3.125E-2</v>
      </c>
      <c r="D10" s="723">
        <f>D5/D6</f>
        <v>21474836.48</v>
      </c>
      <c r="E10" s="1016">
        <v>1</v>
      </c>
      <c r="F10" s="747" t="s">
        <v>1045</v>
      </c>
      <c r="G10" s="1028">
        <v>20</v>
      </c>
      <c r="H10" s="734">
        <f>D13*G10</f>
        <v>429496729.60000002</v>
      </c>
      <c r="I10" s="989">
        <v>80</v>
      </c>
      <c r="J10" s="690">
        <f t="shared" ref="J10:J25" si="0">G10*I10</f>
        <v>1600</v>
      </c>
      <c r="L10" s="724"/>
      <c r="M10" s="1052"/>
      <c r="AA10" s="725"/>
      <c r="AI10" s="726"/>
      <c r="AJ10" s="727"/>
    </row>
    <row r="11" spans="1:78" x14ac:dyDescent="0.3">
      <c r="B11" s="1497">
        <f>B10/2</f>
        <v>1.5625E-2</v>
      </c>
      <c r="C11" s="748"/>
      <c r="D11" s="723">
        <f>D10</f>
        <v>21474836.48</v>
      </c>
      <c r="E11" s="1016">
        <v>2</v>
      </c>
      <c r="F11" s="747" t="s">
        <v>1046</v>
      </c>
      <c r="G11" s="1028">
        <v>8</v>
      </c>
      <c r="H11" s="734">
        <f>D14*G11</f>
        <v>171798691.84</v>
      </c>
      <c r="I11" s="989">
        <v>80</v>
      </c>
      <c r="J11" s="690">
        <f t="shared" si="0"/>
        <v>640</v>
      </c>
      <c r="L11" s="724"/>
      <c r="M11" s="1052"/>
      <c r="AA11" s="725"/>
      <c r="AI11" s="726"/>
      <c r="AJ11" s="727"/>
    </row>
    <row r="12" spans="1:78" x14ac:dyDescent="0.3">
      <c r="B12" s="1497">
        <f>B11/2</f>
        <v>7.8125E-3</v>
      </c>
      <c r="C12" s="723"/>
      <c r="D12" s="723">
        <f t="shared" ref="D12:D17" si="1">D11</f>
        <v>21474836.48</v>
      </c>
      <c r="E12" s="1016">
        <v>3</v>
      </c>
      <c r="F12" s="747" t="s">
        <v>1047</v>
      </c>
      <c r="G12" s="1028">
        <v>4</v>
      </c>
      <c r="H12" s="734">
        <f>D15*G12</f>
        <v>85899345.920000002</v>
      </c>
      <c r="I12" s="989">
        <v>80</v>
      </c>
      <c r="J12" s="690">
        <f t="shared" si="0"/>
        <v>320</v>
      </c>
      <c r="L12" s="724"/>
      <c r="M12" s="1052"/>
      <c r="AA12" s="725"/>
      <c r="AI12" s="726"/>
      <c r="AJ12" s="727"/>
    </row>
    <row r="13" spans="1:78" x14ac:dyDescent="0.3">
      <c r="D13" s="723">
        <f t="shared" si="1"/>
        <v>21474836.48</v>
      </c>
      <c r="E13" s="1016">
        <v>4</v>
      </c>
      <c r="F13" s="747" t="s">
        <v>1048</v>
      </c>
      <c r="G13" s="1028">
        <v>16</v>
      </c>
      <c r="H13" s="734">
        <f>D22*G13</f>
        <v>343597383.68000001</v>
      </c>
      <c r="I13" s="989">
        <v>80</v>
      </c>
      <c r="J13" s="690">
        <f t="shared" si="0"/>
        <v>1280</v>
      </c>
      <c r="L13" s="724"/>
      <c r="M13" s="1052"/>
      <c r="AA13" s="725"/>
      <c r="AI13" s="726"/>
      <c r="AJ13" s="727"/>
    </row>
    <row r="14" spans="1:78" x14ac:dyDescent="0.3">
      <c r="C14" s="723"/>
      <c r="D14" s="723">
        <f t="shared" si="1"/>
        <v>21474836.48</v>
      </c>
      <c r="E14" s="1016">
        <v>5</v>
      </c>
      <c r="F14" s="749" t="s">
        <v>1049</v>
      </c>
      <c r="G14" s="1028">
        <v>4</v>
      </c>
      <c r="H14" s="734">
        <f>D19*G14</f>
        <v>85899345.920000002</v>
      </c>
      <c r="I14" s="989">
        <v>80</v>
      </c>
      <c r="J14" s="690">
        <f t="shared" si="0"/>
        <v>320</v>
      </c>
      <c r="L14" s="724"/>
      <c r="M14" s="1052"/>
      <c r="AA14" s="725"/>
      <c r="AI14" s="726"/>
      <c r="AJ14" s="727"/>
    </row>
    <row r="15" spans="1:78" x14ac:dyDescent="0.3">
      <c r="B15" s="736"/>
      <c r="C15" s="748"/>
      <c r="D15" s="723">
        <f>D14</f>
        <v>21474836.48</v>
      </c>
      <c r="E15" s="1016">
        <v>6</v>
      </c>
      <c r="F15" s="747" t="s">
        <v>1050</v>
      </c>
      <c r="G15" s="1028">
        <v>7</v>
      </c>
      <c r="H15" s="734">
        <f>D18*G15</f>
        <v>150323855.36000001</v>
      </c>
      <c r="I15" s="989">
        <v>80</v>
      </c>
      <c r="J15" s="690">
        <f t="shared" si="0"/>
        <v>560</v>
      </c>
      <c r="L15" s="724"/>
      <c r="M15" s="1052"/>
      <c r="AA15" s="725"/>
      <c r="AI15" s="726"/>
      <c r="AJ15" s="727"/>
    </row>
    <row r="16" spans="1:78" x14ac:dyDescent="0.3">
      <c r="B16" s="736"/>
      <c r="C16" s="748"/>
      <c r="D16" s="723">
        <f t="shared" si="1"/>
        <v>21474836.48</v>
      </c>
      <c r="E16" s="1016">
        <v>7</v>
      </c>
      <c r="F16" s="749" t="s">
        <v>1051</v>
      </c>
      <c r="G16" s="1028">
        <v>5</v>
      </c>
      <c r="H16" s="734">
        <f>D19*G16</f>
        <v>107374182.40000001</v>
      </c>
      <c r="I16" s="989">
        <v>80</v>
      </c>
      <c r="J16" s="690">
        <f t="shared" si="0"/>
        <v>400</v>
      </c>
      <c r="L16" s="724"/>
      <c r="M16" s="1052"/>
      <c r="AA16" s="725"/>
      <c r="AI16" s="726"/>
      <c r="AJ16" s="727"/>
    </row>
    <row r="17" spans="3:36" x14ac:dyDescent="0.3">
      <c r="C17" s="695"/>
      <c r="D17" s="723">
        <f t="shared" si="1"/>
        <v>21474836.48</v>
      </c>
      <c r="E17" s="1016">
        <v>8</v>
      </c>
      <c r="F17" s="749" t="s">
        <v>1052</v>
      </c>
      <c r="G17" s="1028">
        <v>4</v>
      </c>
      <c r="H17" s="734">
        <f>D20*G17</f>
        <v>85899345.920000002</v>
      </c>
      <c r="I17" s="989">
        <v>80</v>
      </c>
      <c r="J17" s="690">
        <f t="shared" si="0"/>
        <v>320</v>
      </c>
      <c r="L17" s="724"/>
      <c r="M17" s="1052"/>
      <c r="AA17" s="725"/>
      <c r="AI17" s="726"/>
      <c r="AJ17" s="727"/>
    </row>
    <row r="18" spans="3:36" x14ac:dyDescent="0.3">
      <c r="D18" s="723">
        <f>D17</f>
        <v>21474836.48</v>
      </c>
      <c r="E18" s="1016">
        <f>E17+1</f>
        <v>9</v>
      </c>
      <c r="F18" s="747" t="s">
        <v>1053</v>
      </c>
      <c r="G18" s="1028">
        <v>3</v>
      </c>
      <c r="H18" s="734">
        <f>D12*G18</f>
        <v>64424509.439999998</v>
      </c>
      <c r="I18" s="989">
        <v>80</v>
      </c>
      <c r="J18" s="690">
        <f t="shared" si="0"/>
        <v>240</v>
      </c>
      <c r="L18" s="724"/>
      <c r="M18" s="1052"/>
      <c r="AA18" s="725"/>
      <c r="AI18" s="726"/>
      <c r="AJ18" s="727"/>
    </row>
    <row r="19" spans="3:36" x14ac:dyDescent="0.3">
      <c r="D19" s="723">
        <f>D18</f>
        <v>21474836.48</v>
      </c>
      <c r="E19" s="1016">
        <f>E18+1</f>
        <v>10</v>
      </c>
      <c r="F19" s="747" t="s">
        <v>1054</v>
      </c>
      <c r="G19" s="1028">
        <v>11</v>
      </c>
      <c r="H19" s="734">
        <f>D19*G19</f>
        <v>236223201.28</v>
      </c>
      <c r="I19" s="989">
        <v>80</v>
      </c>
      <c r="J19" s="690">
        <f t="shared" si="0"/>
        <v>880</v>
      </c>
      <c r="L19" s="724"/>
      <c r="M19" s="1052"/>
      <c r="AA19" s="725"/>
      <c r="AI19" s="726"/>
      <c r="AJ19" s="727"/>
    </row>
    <row r="20" spans="3:36" x14ac:dyDescent="0.3">
      <c r="D20" s="723">
        <f>D19</f>
        <v>21474836.48</v>
      </c>
      <c r="E20" s="1016">
        <f>E19+1</f>
        <v>11</v>
      </c>
      <c r="F20" s="749" t="s">
        <v>1055</v>
      </c>
      <c r="G20" s="1028">
        <v>6</v>
      </c>
      <c r="H20" s="734">
        <f>D17*G20</f>
        <v>128849018.88</v>
      </c>
      <c r="I20" s="989">
        <v>80</v>
      </c>
      <c r="J20" s="690">
        <f t="shared" si="0"/>
        <v>480</v>
      </c>
      <c r="L20" s="724"/>
      <c r="M20" s="1052"/>
      <c r="AA20" s="725"/>
      <c r="AI20" s="726"/>
      <c r="AJ20" s="727"/>
    </row>
    <row r="21" spans="3:36" x14ac:dyDescent="0.3">
      <c r="D21" s="723">
        <f t="shared" ref="D21:D24" si="2">D20</f>
        <v>21474836.48</v>
      </c>
      <c r="E21" s="1016">
        <f t="shared" ref="E21:E24" si="3">E20+1</f>
        <v>12</v>
      </c>
      <c r="F21" s="747" t="s">
        <v>1056</v>
      </c>
      <c r="G21" s="1028">
        <v>6</v>
      </c>
      <c r="H21" s="734">
        <f>D25*G21</f>
        <v>128849018.88</v>
      </c>
      <c r="I21" s="989">
        <v>80</v>
      </c>
      <c r="J21" s="690">
        <f t="shared" si="0"/>
        <v>480</v>
      </c>
      <c r="L21" s="724"/>
      <c r="M21" s="1052"/>
      <c r="AA21" s="725"/>
      <c r="AI21" s="726"/>
      <c r="AJ21" s="727"/>
    </row>
    <row r="22" spans="3:36" x14ac:dyDescent="0.3">
      <c r="D22" s="723">
        <f t="shared" si="2"/>
        <v>21474836.48</v>
      </c>
      <c r="E22" s="1016">
        <f t="shared" si="3"/>
        <v>13</v>
      </c>
      <c r="F22" s="747" t="s">
        <v>1057</v>
      </c>
      <c r="G22" s="1028">
        <v>6</v>
      </c>
      <c r="H22" s="734">
        <f>D23*G22</f>
        <v>128849018.88</v>
      </c>
      <c r="I22" s="989">
        <v>80</v>
      </c>
      <c r="J22" s="690">
        <f t="shared" si="0"/>
        <v>480</v>
      </c>
      <c r="L22" s="724"/>
      <c r="M22" s="1052"/>
      <c r="AA22" s="725"/>
      <c r="AI22" s="726"/>
      <c r="AJ22" s="727"/>
    </row>
    <row r="23" spans="3:36" x14ac:dyDescent="0.3">
      <c r="D23" s="723">
        <f t="shared" si="2"/>
        <v>21474836.48</v>
      </c>
      <c r="E23" s="1016">
        <f t="shared" si="3"/>
        <v>14</v>
      </c>
      <c r="F23" s="749" t="s">
        <v>1058</v>
      </c>
      <c r="G23" s="1028">
        <v>4</v>
      </c>
      <c r="H23" s="734">
        <f>D15*G23</f>
        <v>85899345.920000002</v>
      </c>
      <c r="I23" s="989">
        <v>80</v>
      </c>
      <c r="J23" s="690">
        <f t="shared" si="0"/>
        <v>320</v>
      </c>
      <c r="L23" s="724"/>
      <c r="M23" s="1052"/>
      <c r="AA23" s="725"/>
      <c r="AI23" s="726"/>
      <c r="AJ23" s="727"/>
    </row>
    <row r="24" spans="3:36" x14ac:dyDescent="0.3">
      <c r="D24" s="723">
        <f t="shared" si="2"/>
        <v>21474836.48</v>
      </c>
      <c r="E24" s="1016">
        <f t="shared" si="3"/>
        <v>15</v>
      </c>
      <c r="F24" s="747" t="s">
        <v>1059</v>
      </c>
      <c r="G24" s="1028">
        <v>8</v>
      </c>
      <c r="H24" s="734">
        <f>D24*G24</f>
        <v>171798691.84</v>
      </c>
      <c r="I24" s="989">
        <v>80</v>
      </c>
      <c r="J24" s="690">
        <f t="shared" si="0"/>
        <v>640</v>
      </c>
      <c r="L24" s="724"/>
      <c r="M24" s="1052"/>
      <c r="AA24" s="725"/>
      <c r="AI24" s="726"/>
      <c r="AJ24" s="727"/>
    </row>
    <row r="25" spans="3:36" x14ac:dyDescent="0.3">
      <c r="D25" s="734">
        <f>D24</f>
        <v>21474836.48</v>
      </c>
      <c r="E25" s="1016">
        <f>E24+1</f>
        <v>16</v>
      </c>
      <c r="F25" s="747" t="s">
        <v>1060</v>
      </c>
      <c r="G25" s="1028">
        <v>16</v>
      </c>
      <c r="H25" s="734">
        <f>D25*G25</f>
        <v>343597383.68000001</v>
      </c>
      <c r="I25" s="989">
        <v>80</v>
      </c>
      <c r="J25" s="690">
        <f t="shared" si="0"/>
        <v>1280</v>
      </c>
      <c r="L25" s="724"/>
      <c r="M25" s="1052"/>
      <c r="AA25" s="725"/>
      <c r="AI25" s="726"/>
      <c r="AJ25" s="727"/>
    </row>
    <row r="26" spans="3:36" x14ac:dyDescent="0.3">
      <c r="C26" s="750"/>
      <c r="D26" s="753"/>
      <c r="E26" s="1017"/>
      <c r="F26" s="752" t="s">
        <v>1061</v>
      </c>
      <c r="G26" s="1029">
        <f>SUM(G6:G25)</f>
        <v>128</v>
      </c>
      <c r="H26" s="753">
        <f>SUM(H6:H25)</f>
        <v>2748779069.4400005</v>
      </c>
      <c r="I26" s="1039"/>
      <c r="J26" s="753"/>
      <c r="K26" s="1063">
        <f>SUM(J10:J25)</f>
        <v>10240</v>
      </c>
      <c r="L26" s="724"/>
      <c r="M26" s="1052"/>
      <c r="AA26" s="725"/>
      <c r="AI26" s="726"/>
      <c r="AJ26" s="727"/>
    </row>
    <row r="27" spans="3:36" x14ac:dyDescent="0.3">
      <c r="F27" s="754" t="s">
        <v>1062</v>
      </c>
      <c r="G27" s="1030">
        <v>128</v>
      </c>
      <c r="K27" s="938">
        <v>4</v>
      </c>
      <c r="L27" s="724"/>
      <c r="M27" s="1052"/>
      <c r="AA27" s="725"/>
      <c r="AI27" s="726"/>
      <c r="AJ27" s="727"/>
    </row>
    <row r="28" spans="3:36" x14ac:dyDescent="0.3">
      <c r="G28" s="1031"/>
      <c r="H28" s="750" t="s">
        <v>1063</v>
      </c>
      <c r="I28" s="1039"/>
      <c r="J28" s="753"/>
      <c r="K28" s="1039">
        <f>+K43+K55</f>
        <v>1920</v>
      </c>
      <c r="L28" s="724"/>
      <c r="M28" s="1052"/>
      <c r="AA28" s="725"/>
      <c r="AI28" s="726"/>
      <c r="AJ28" s="727"/>
    </row>
    <row r="29" spans="3:36" x14ac:dyDescent="0.3">
      <c r="L29" s="724"/>
      <c r="M29" s="1052"/>
      <c r="AA29" s="725"/>
      <c r="AI29" s="726"/>
      <c r="AJ29" s="727"/>
    </row>
    <row r="30" spans="3:36" x14ac:dyDescent="0.3">
      <c r="C30" s="691"/>
      <c r="D30" s="691" t="s">
        <v>1064</v>
      </c>
      <c r="L30" s="724"/>
      <c r="M30" s="1052"/>
      <c r="AA30" s="725"/>
      <c r="AI30" s="726"/>
      <c r="AJ30" s="727"/>
    </row>
    <row r="31" spans="3:36" x14ac:dyDescent="0.3">
      <c r="D31" s="690">
        <f>D111/2</f>
        <v>1374389534.72</v>
      </c>
      <c r="F31" s="690" t="s">
        <v>1065</v>
      </c>
      <c r="L31" s="724"/>
      <c r="M31" s="1052"/>
      <c r="AA31" s="725"/>
      <c r="AI31" s="726"/>
      <c r="AJ31" s="727"/>
    </row>
    <row r="32" spans="3:36" x14ac:dyDescent="0.3">
      <c r="D32" s="755">
        <v>64</v>
      </c>
      <c r="E32" s="1013" t="s">
        <v>1066</v>
      </c>
      <c r="F32" s="738"/>
      <c r="L32" s="724"/>
      <c r="M32" s="1052"/>
      <c r="AA32" s="725"/>
      <c r="AI32" s="726"/>
      <c r="AJ32" s="727"/>
    </row>
    <row r="33" spans="3:36" x14ac:dyDescent="0.3">
      <c r="D33" s="690">
        <f>D31/D32</f>
        <v>21474836.48</v>
      </c>
      <c r="E33" s="1018">
        <v>17</v>
      </c>
      <c r="F33" s="749" t="s">
        <v>1067</v>
      </c>
      <c r="G33" s="1032">
        <v>6</v>
      </c>
      <c r="H33" s="690">
        <f>D33*G33</f>
        <v>128849018.88</v>
      </c>
      <c r="I33" s="989">
        <v>80</v>
      </c>
      <c r="J33" s="690">
        <f t="shared" ref="J33:J40" si="4">G33*I33</f>
        <v>480</v>
      </c>
      <c r="L33" s="724"/>
      <c r="M33" s="1052"/>
      <c r="AA33" s="725"/>
      <c r="AI33" s="726"/>
      <c r="AJ33" s="727"/>
    </row>
    <row r="34" spans="3:36" x14ac:dyDescent="0.3">
      <c r="D34" s="690">
        <f>D33</f>
        <v>21474836.48</v>
      </c>
      <c r="E34" s="1018">
        <f>E33+1</f>
        <v>18</v>
      </c>
      <c r="F34" s="749" t="s">
        <v>1068</v>
      </c>
      <c r="G34" s="1032">
        <v>16</v>
      </c>
      <c r="H34" s="690">
        <f t="shared" ref="H34:H40" si="5">D34*G34</f>
        <v>343597383.68000001</v>
      </c>
      <c r="I34" s="989">
        <v>80</v>
      </c>
      <c r="J34" s="690">
        <f t="shared" si="4"/>
        <v>1280</v>
      </c>
      <c r="L34" s="724"/>
      <c r="M34" s="1052"/>
      <c r="AA34" s="725"/>
      <c r="AI34" s="726"/>
      <c r="AJ34" s="727"/>
    </row>
    <row r="35" spans="3:36" x14ac:dyDescent="0.3">
      <c r="D35" s="690">
        <f t="shared" ref="D35:D40" si="6">D34</f>
        <v>21474836.48</v>
      </c>
      <c r="E35" s="1018">
        <f t="shared" ref="E35:E40" si="7">E34+1</f>
        <v>19</v>
      </c>
      <c r="F35" s="749" t="s">
        <v>1069</v>
      </c>
      <c r="G35" s="1032">
        <v>8</v>
      </c>
      <c r="H35" s="690">
        <f t="shared" si="5"/>
        <v>171798691.84</v>
      </c>
      <c r="I35" s="989">
        <v>80</v>
      </c>
      <c r="J35" s="690">
        <f t="shared" si="4"/>
        <v>640</v>
      </c>
      <c r="L35" s="724"/>
      <c r="M35" s="1052"/>
      <c r="AA35" s="725"/>
      <c r="AI35" s="726"/>
      <c r="AJ35" s="727"/>
    </row>
    <row r="36" spans="3:36" x14ac:dyDescent="0.3">
      <c r="D36" s="690">
        <f t="shared" si="6"/>
        <v>21474836.48</v>
      </c>
      <c r="E36" s="1018">
        <f t="shared" si="7"/>
        <v>20</v>
      </c>
      <c r="F36" s="747" t="s">
        <v>1070</v>
      </c>
      <c r="G36" s="1032">
        <v>16</v>
      </c>
      <c r="H36" s="690">
        <f t="shared" si="5"/>
        <v>343597383.68000001</v>
      </c>
      <c r="I36" s="989">
        <v>80</v>
      </c>
      <c r="J36" s="690">
        <f t="shared" si="4"/>
        <v>1280</v>
      </c>
      <c r="L36" s="724"/>
      <c r="M36" s="1052"/>
      <c r="AA36" s="725"/>
      <c r="AI36" s="726"/>
      <c r="AJ36" s="727"/>
    </row>
    <row r="37" spans="3:36" x14ac:dyDescent="0.3">
      <c r="D37" s="690">
        <f t="shared" si="6"/>
        <v>21474836.48</v>
      </c>
      <c r="E37" s="1018">
        <f t="shared" si="7"/>
        <v>21</v>
      </c>
      <c r="F37" s="749" t="s">
        <v>1071</v>
      </c>
      <c r="G37" s="1032">
        <v>3</v>
      </c>
      <c r="H37" s="690">
        <f t="shared" si="5"/>
        <v>64424509.439999998</v>
      </c>
      <c r="I37" s="989">
        <v>80</v>
      </c>
      <c r="J37" s="690">
        <f t="shared" si="4"/>
        <v>240</v>
      </c>
      <c r="L37" s="724"/>
      <c r="M37" s="1052"/>
      <c r="AA37" s="725"/>
      <c r="AI37" s="726"/>
      <c r="AJ37" s="727"/>
    </row>
    <row r="38" spans="3:36" x14ac:dyDescent="0.3">
      <c r="D38" s="690">
        <f t="shared" si="6"/>
        <v>21474836.48</v>
      </c>
      <c r="E38" s="1018">
        <f t="shared" si="7"/>
        <v>22</v>
      </c>
      <c r="F38" s="749" t="s">
        <v>1072</v>
      </c>
      <c r="G38" s="1032">
        <v>5</v>
      </c>
      <c r="H38" s="690">
        <f t="shared" si="5"/>
        <v>107374182.40000001</v>
      </c>
      <c r="I38" s="989">
        <v>80</v>
      </c>
      <c r="J38" s="690">
        <f t="shared" si="4"/>
        <v>400</v>
      </c>
      <c r="L38" s="724"/>
      <c r="M38" s="1052"/>
      <c r="AA38" s="725"/>
      <c r="AI38" s="726"/>
      <c r="AJ38" s="727"/>
    </row>
    <row r="39" spans="3:36" x14ac:dyDescent="0.3">
      <c r="D39" s="690">
        <f t="shared" si="6"/>
        <v>21474836.48</v>
      </c>
      <c r="E39" s="1018">
        <f t="shared" si="7"/>
        <v>23</v>
      </c>
      <c r="F39" s="749" t="s">
        <v>1073</v>
      </c>
      <c r="G39" s="1032">
        <v>7</v>
      </c>
      <c r="H39" s="690">
        <f t="shared" si="5"/>
        <v>150323855.36000001</v>
      </c>
      <c r="I39" s="989">
        <v>80</v>
      </c>
      <c r="J39" s="690">
        <f t="shared" si="4"/>
        <v>560</v>
      </c>
      <c r="L39" s="724"/>
      <c r="M39" s="1052"/>
      <c r="AA39" s="725"/>
      <c r="AI39" s="726"/>
      <c r="AJ39" s="727"/>
    </row>
    <row r="40" spans="3:36" x14ac:dyDescent="0.3">
      <c r="D40" s="690">
        <f t="shared" si="6"/>
        <v>21474836.48</v>
      </c>
      <c r="E40" s="1018">
        <f t="shared" si="7"/>
        <v>24</v>
      </c>
      <c r="F40" s="749" t="s">
        <v>1074</v>
      </c>
      <c r="G40" s="1032">
        <v>3</v>
      </c>
      <c r="H40" s="690">
        <f t="shared" si="5"/>
        <v>64424509.439999998</v>
      </c>
      <c r="I40" s="989">
        <v>80</v>
      </c>
      <c r="J40" s="690">
        <f t="shared" si="4"/>
        <v>240</v>
      </c>
      <c r="L40" s="724"/>
      <c r="M40" s="1052"/>
      <c r="AA40" s="725"/>
      <c r="AI40" s="726"/>
      <c r="AJ40" s="727"/>
    </row>
    <row r="41" spans="3:36" x14ac:dyDescent="0.3">
      <c r="C41" s="753"/>
      <c r="D41" s="753"/>
      <c r="E41" s="1017"/>
      <c r="F41" s="752" t="s">
        <v>1061</v>
      </c>
      <c r="G41" s="1029">
        <f>SUM(G33:G40)</f>
        <v>64</v>
      </c>
      <c r="H41" s="753">
        <f>SUM(H33:H40)</f>
        <v>1374389534.7200003</v>
      </c>
      <c r="I41" s="1039"/>
      <c r="J41" s="756"/>
      <c r="K41" s="1039">
        <f>SUM(J33:J40)</f>
        <v>5120</v>
      </c>
      <c r="L41" s="724"/>
      <c r="M41" s="1052"/>
      <c r="AA41" s="725"/>
      <c r="AI41" s="726"/>
      <c r="AJ41" s="727"/>
    </row>
    <row r="42" spans="3:36" x14ac:dyDescent="0.3">
      <c r="F42" s="754" t="s">
        <v>1062</v>
      </c>
      <c r="G42" s="1030">
        <v>64</v>
      </c>
      <c r="K42" s="938">
        <v>4</v>
      </c>
      <c r="L42" s="724"/>
      <c r="M42" s="1052"/>
      <c r="AA42" s="725"/>
      <c r="AI42" s="726"/>
      <c r="AJ42" s="727"/>
    </row>
    <row r="43" spans="3:36" x14ac:dyDescent="0.3">
      <c r="G43" s="1031"/>
      <c r="H43" s="750" t="s">
        <v>1063</v>
      </c>
      <c r="I43" s="1039"/>
      <c r="J43" s="753"/>
      <c r="K43" s="1039">
        <f>K41/4</f>
        <v>1280</v>
      </c>
      <c r="L43" s="724"/>
      <c r="M43" s="1052"/>
      <c r="AA43" s="725"/>
      <c r="AI43" s="726"/>
      <c r="AJ43" s="727"/>
    </row>
    <row r="44" spans="3:36" x14ac:dyDescent="0.3">
      <c r="E44" s="938"/>
      <c r="L44" s="724"/>
      <c r="M44" s="1052"/>
      <c r="AA44" s="725"/>
      <c r="AI44" s="726"/>
      <c r="AJ44" s="727"/>
    </row>
    <row r="45" spans="3:36" x14ac:dyDescent="0.3">
      <c r="L45" s="724"/>
      <c r="M45" s="1052"/>
      <c r="AA45" s="725"/>
      <c r="AI45" s="726"/>
      <c r="AJ45" s="727"/>
    </row>
    <row r="46" spans="3:36" x14ac:dyDescent="0.3">
      <c r="C46" s="691"/>
      <c r="D46" s="691" t="s">
        <v>1075</v>
      </c>
      <c r="L46" s="724"/>
      <c r="M46" s="1052"/>
      <c r="AA46" s="725"/>
      <c r="AI46" s="726"/>
      <c r="AJ46" s="727"/>
    </row>
    <row r="47" spans="3:36" x14ac:dyDescent="0.3">
      <c r="D47" s="690">
        <f>D111/4</f>
        <v>687194767.36000001</v>
      </c>
      <c r="L47" s="724"/>
      <c r="M47" s="1052"/>
      <c r="AA47" s="725"/>
      <c r="AI47" s="726"/>
      <c r="AJ47" s="727"/>
    </row>
    <row r="48" spans="3:36" x14ac:dyDescent="0.3">
      <c r="D48" s="755">
        <v>32</v>
      </c>
      <c r="E48" s="1013" t="s">
        <v>1066</v>
      </c>
      <c r="F48" s="738"/>
      <c r="L48" s="724"/>
      <c r="M48" s="1052"/>
      <c r="AA48" s="725"/>
      <c r="AI48" s="726"/>
      <c r="AJ48" s="727"/>
    </row>
    <row r="49" spans="3:36" x14ac:dyDescent="0.3">
      <c r="D49" s="690">
        <f>D47/D48</f>
        <v>21474836.48</v>
      </c>
      <c r="E49" s="1019">
        <f>E40+1</f>
        <v>25</v>
      </c>
      <c r="F49" s="749" t="s">
        <v>1076</v>
      </c>
      <c r="G49" s="1032">
        <v>8</v>
      </c>
      <c r="H49" s="690">
        <f t="shared" ref="H49:H52" si="8">D49*G49</f>
        <v>171798691.84</v>
      </c>
      <c r="I49" s="989">
        <v>80</v>
      </c>
      <c r="J49" s="690">
        <f t="shared" ref="J49:J52" si="9">G49*I49</f>
        <v>640</v>
      </c>
      <c r="L49" s="724"/>
      <c r="M49" s="1052"/>
      <c r="AA49" s="725"/>
      <c r="AI49" s="726"/>
      <c r="AJ49" s="727"/>
    </row>
    <row r="50" spans="3:36" x14ac:dyDescent="0.3">
      <c r="D50" s="690">
        <f>D49</f>
        <v>21474836.48</v>
      </c>
      <c r="E50" s="1019">
        <f>E49+1</f>
        <v>26</v>
      </c>
      <c r="F50" s="749" t="s">
        <v>1077</v>
      </c>
      <c r="G50" s="1032">
        <v>8</v>
      </c>
      <c r="H50" s="690">
        <f t="shared" si="8"/>
        <v>171798691.84</v>
      </c>
      <c r="I50" s="989">
        <v>80</v>
      </c>
      <c r="J50" s="690">
        <f t="shared" si="9"/>
        <v>640</v>
      </c>
      <c r="L50" s="724"/>
      <c r="M50" s="1052"/>
      <c r="AA50" s="725"/>
      <c r="AI50" s="726"/>
      <c r="AJ50" s="727"/>
    </row>
    <row r="51" spans="3:36" x14ac:dyDescent="0.3">
      <c r="D51" s="690">
        <f>D50</f>
        <v>21474836.48</v>
      </c>
      <c r="E51" s="1019">
        <f t="shared" ref="E51:E52" si="10">E50+1</f>
        <v>27</v>
      </c>
      <c r="F51" s="749" t="s">
        <v>1078</v>
      </c>
      <c r="G51" s="1032">
        <v>8</v>
      </c>
      <c r="H51" s="690">
        <f t="shared" si="8"/>
        <v>171798691.84</v>
      </c>
      <c r="I51" s="989">
        <v>80</v>
      </c>
      <c r="J51" s="690">
        <f t="shared" si="9"/>
        <v>640</v>
      </c>
      <c r="L51" s="724"/>
      <c r="M51" s="1052"/>
      <c r="AA51" s="725"/>
      <c r="AI51" s="726"/>
      <c r="AJ51" s="727"/>
    </row>
    <row r="52" spans="3:36" x14ac:dyDescent="0.3">
      <c r="D52" s="690">
        <f>D51</f>
        <v>21474836.48</v>
      </c>
      <c r="E52" s="1019">
        <f t="shared" si="10"/>
        <v>28</v>
      </c>
      <c r="F52" s="749" t="s">
        <v>1079</v>
      </c>
      <c r="G52" s="1032">
        <v>8</v>
      </c>
      <c r="H52" s="690">
        <f t="shared" si="8"/>
        <v>171798691.84</v>
      </c>
      <c r="I52" s="989">
        <v>80</v>
      </c>
      <c r="J52" s="690">
        <f t="shared" si="9"/>
        <v>640</v>
      </c>
      <c r="L52" s="724"/>
      <c r="M52" s="1052"/>
      <c r="AA52" s="725"/>
      <c r="AI52" s="726"/>
      <c r="AJ52" s="727"/>
    </row>
    <row r="53" spans="3:36" x14ac:dyDescent="0.3">
      <c r="C53" s="753"/>
      <c r="D53" s="753"/>
      <c r="E53" s="1017"/>
      <c r="F53" s="752" t="s">
        <v>1061</v>
      </c>
      <c r="G53" s="1029">
        <f>SUM(G49:G52)</f>
        <v>32</v>
      </c>
      <c r="H53" s="753">
        <f>SUM(H49:H52)</f>
        <v>687194767.36000001</v>
      </c>
      <c r="I53" s="1039"/>
      <c r="J53" s="753"/>
      <c r="K53" s="1039">
        <f>SUM(J49:J52)</f>
        <v>2560</v>
      </c>
      <c r="L53" s="724"/>
      <c r="M53" s="1052"/>
      <c r="AA53" s="725"/>
      <c r="AI53" s="726"/>
      <c r="AJ53" s="727"/>
    </row>
    <row r="54" spans="3:36" x14ac:dyDescent="0.3">
      <c r="F54" s="754" t="s">
        <v>1062</v>
      </c>
      <c r="G54" s="1030">
        <v>32</v>
      </c>
      <c r="K54" s="938">
        <v>4</v>
      </c>
      <c r="L54" s="724"/>
      <c r="M54" s="1052"/>
      <c r="AA54" s="725"/>
      <c r="AI54" s="726"/>
      <c r="AJ54" s="727"/>
    </row>
    <row r="55" spans="3:36" x14ac:dyDescent="0.3">
      <c r="G55" s="1031"/>
      <c r="H55" s="750" t="s">
        <v>1063</v>
      </c>
      <c r="I55" s="1039"/>
      <c r="J55" s="753"/>
      <c r="K55" s="1039">
        <f>K53/K54</f>
        <v>640</v>
      </c>
      <c r="L55" s="724"/>
      <c r="M55" s="1052"/>
      <c r="AA55" s="725"/>
      <c r="AI55" s="726"/>
      <c r="AJ55" s="727"/>
    </row>
    <row r="56" spans="3:36" x14ac:dyDescent="0.3">
      <c r="L56" s="724"/>
      <c r="M56" s="1052"/>
      <c r="AA56" s="725"/>
      <c r="AI56" s="726"/>
      <c r="AJ56" s="727"/>
    </row>
    <row r="57" spans="3:36" x14ac:dyDescent="0.3">
      <c r="C57" s="691"/>
      <c r="D57" s="691" t="s">
        <v>1080</v>
      </c>
      <c r="L57" s="724"/>
      <c r="M57" s="1052"/>
      <c r="AA57" s="725"/>
      <c r="AI57" s="726"/>
      <c r="AJ57" s="727"/>
    </row>
    <row r="58" spans="3:36" x14ac:dyDescent="0.3">
      <c r="D58" s="690">
        <f>D111/4</f>
        <v>687194767.36000001</v>
      </c>
      <c r="L58" s="724"/>
      <c r="M58" s="1052"/>
      <c r="AA58" s="725"/>
      <c r="AI58" s="726"/>
      <c r="AJ58" s="727"/>
    </row>
    <row r="59" spans="3:36" x14ac:dyDescent="0.3">
      <c r="D59" s="755">
        <v>32</v>
      </c>
      <c r="E59" s="1013" t="s">
        <v>1066</v>
      </c>
      <c r="F59" s="738"/>
      <c r="L59" s="724"/>
      <c r="M59" s="1052"/>
      <c r="AA59" s="725"/>
      <c r="AI59" s="726"/>
      <c r="AJ59" s="727"/>
    </row>
    <row r="60" spans="3:36" x14ac:dyDescent="0.3">
      <c r="D60" s="690">
        <f>D58/D59</f>
        <v>21474836.48</v>
      </c>
      <c r="E60" s="1020">
        <f>E52+1</f>
        <v>29</v>
      </c>
      <c r="F60" s="749" t="s">
        <v>35</v>
      </c>
      <c r="G60" s="1032">
        <v>8</v>
      </c>
      <c r="H60" s="690">
        <f t="shared" ref="H60:H63" si="11">D60*G60</f>
        <v>171798691.84</v>
      </c>
      <c r="I60" s="989">
        <v>80</v>
      </c>
      <c r="J60" s="690">
        <f t="shared" ref="J60:J63" si="12">G60*I60</f>
        <v>640</v>
      </c>
      <c r="L60" s="724"/>
      <c r="M60" s="1052"/>
      <c r="AA60" s="725"/>
      <c r="AI60" s="726"/>
      <c r="AJ60" s="727"/>
    </row>
    <row r="61" spans="3:36" x14ac:dyDescent="0.3">
      <c r="D61" s="690">
        <f>D60</f>
        <v>21474836.48</v>
      </c>
      <c r="E61" s="1020">
        <f>E60+1</f>
        <v>30</v>
      </c>
      <c r="F61" s="749" t="s">
        <v>1081</v>
      </c>
      <c r="G61" s="1032">
        <v>8</v>
      </c>
      <c r="H61" s="690">
        <f t="shared" si="11"/>
        <v>171798691.84</v>
      </c>
      <c r="I61" s="989">
        <v>80</v>
      </c>
      <c r="J61" s="690">
        <f t="shared" si="12"/>
        <v>640</v>
      </c>
      <c r="L61" s="724"/>
      <c r="M61" s="1052"/>
      <c r="AA61" s="725"/>
      <c r="AI61" s="726"/>
      <c r="AJ61" s="727"/>
    </row>
    <row r="62" spans="3:36" x14ac:dyDescent="0.3">
      <c r="D62" s="690">
        <f>D61</f>
        <v>21474836.48</v>
      </c>
      <c r="E62" s="1020">
        <f t="shared" ref="E62:E63" si="13">E61+1</f>
        <v>31</v>
      </c>
      <c r="F62" s="757" t="s">
        <v>1082</v>
      </c>
      <c r="G62" s="1032">
        <v>4</v>
      </c>
      <c r="H62" s="690">
        <f t="shared" si="11"/>
        <v>85899345.920000002</v>
      </c>
      <c r="I62" s="989">
        <v>80</v>
      </c>
      <c r="J62" s="690">
        <f t="shared" si="12"/>
        <v>320</v>
      </c>
      <c r="L62" s="724"/>
      <c r="M62" s="1052"/>
      <c r="AA62" s="725"/>
      <c r="AI62" s="726"/>
      <c r="AJ62" s="727"/>
    </row>
    <row r="63" spans="3:36" x14ac:dyDescent="0.3">
      <c r="D63" s="690">
        <f>D62</f>
        <v>21474836.48</v>
      </c>
      <c r="E63" s="1020">
        <f t="shared" si="13"/>
        <v>32</v>
      </c>
      <c r="F63" s="749" t="s">
        <v>148</v>
      </c>
      <c r="G63" s="1032">
        <v>12</v>
      </c>
      <c r="H63" s="690">
        <f t="shared" si="11"/>
        <v>257698037.75999999</v>
      </c>
      <c r="I63" s="989">
        <v>80</v>
      </c>
      <c r="J63" s="690">
        <f t="shared" si="12"/>
        <v>960</v>
      </c>
      <c r="L63" s="724"/>
      <c r="M63" s="1052"/>
      <c r="AA63" s="725"/>
      <c r="AI63" s="726"/>
      <c r="AJ63" s="727"/>
    </row>
    <row r="64" spans="3:36" x14ac:dyDescent="0.3">
      <c r="C64" s="753"/>
      <c r="D64" s="753"/>
      <c r="E64" s="1017"/>
      <c r="F64" s="752" t="s">
        <v>1061</v>
      </c>
      <c r="G64" s="1029">
        <f>SUM(G60:G63)</f>
        <v>32</v>
      </c>
      <c r="H64" s="753">
        <f>SUM(H60:H63)</f>
        <v>687194767.36000001</v>
      </c>
      <c r="I64" s="1039"/>
      <c r="J64" s="753"/>
      <c r="K64" s="1039">
        <f>SUM(J60:J63)</f>
        <v>2560</v>
      </c>
      <c r="L64" s="724"/>
      <c r="M64" s="1052"/>
      <c r="AA64" s="725"/>
      <c r="AI64" s="726"/>
      <c r="AJ64" s="727"/>
    </row>
    <row r="65" spans="3:36" x14ac:dyDescent="0.3">
      <c r="F65" s="754" t="s">
        <v>1062</v>
      </c>
      <c r="G65" s="1030">
        <v>32</v>
      </c>
      <c r="K65" s="938">
        <v>4</v>
      </c>
      <c r="L65" s="724"/>
      <c r="M65" s="1052"/>
      <c r="AA65" s="725"/>
      <c r="AI65" s="726"/>
      <c r="AJ65" s="727"/>
    </row>
    <row r="66" spans="3:36" x14ac:dyDescent="0.3">
      <c r="G66" s="1031"/>
      <c r="H66" s="750" t="s">
        <v>1063</v>
      </c>
      <c r="I66" s="1039"/>
      <c r="J66" s="753"/>
      <c r="K66" s="1039">
        <f>K64/K65</f>
        <v>640</v>
      </c>
      <c r="L66" s="724"/>
      <c r="M66" s="1052"/>
      <c r="AA66" s="725"/>
      <c r="AI66" s="726"/>
      <c r="AJ66" s="727"/>
    </row>
    <row r="67" spans="3:36" x14ac:dyDescent="0.3">
      <c r="L67" s="724"/>
      <c r="M67" s="1052"/>
      <c r="AA67" s="725"/>
      <c r="AI67" s="726"/>
      <c r="AJ67" s="727"/>
    </row>
    <row r="68" spans="3:36" x14ac:dyDescent="0.3">
      <c r="L68" s="724"/>
      <c r="M68" s="1052"/>
      <c r="AA68" s="725"/>
      <c r="AI68" s="726"/>
      <c r="AJ68" s="727"/>
    </row>
    <row r="69" spans="3:36" x14ac:dyDescent="0.3">
      <c r="E69" s="938"/>
      <c r="H69" s="758" t="s">
        <v>1083</v>
      </c>
      <c r="I69" s="1040"/>
      <c r="J69" s="759"/>
      <c r="K69" s="1040">
        <f>K28+K43+K55+K66</f>
        <v>4480</v>
      </c>
      <c r="L69" s="724"/>
      <c r="M69" s="1052"/>
      <c r="AA69" s="725"/>
      <c r="AI69" s="726"/>
      <c r="AJ69" s="727"/>
    </row>
    <row r="70" spans="3:36" x14ac:dyDescent="0.3">
      <c r="E70" s="938"/>
      <c r="L70" s="724"/>
      <c r="M70" s="1052"/>
      <c r="AA70" s="725"/>
      <c r="AI70" s="726"/>
      <c r="AJ70" s="727"/>
    </row>
    <row r="71" spans="3:36" x14ac:dyDescent="0.3">
      <c r="E71" s="938"/>
      <c r="H71" s="758" t="s">
        <v>1084</v>
      </c>
      <c r="I71" s="1040"/>
      <c r="J71" s="759">
        <f>SUM(J11:J70)</f>
        <v>18880</v>
      </c>
      <c r="K71" s="1040"/>
      <c r="L71" s="724"/>
      <c r="M71" s="1052"/>
      <c r="AA71" s="725"/>
      <c r="AI71" s="726"/>
      <c r="AJ71" s="727"/>
    </row>
    <row r="72" spans="3:36" x14ac:dyDescent="0.3">
      <c r="E72" s="938"/>
      <c r="F72" s="690" t="s">
        <v>1223</v>
      </c>
      <c r="L72" s="724"/>
      <c r="M72" s="1052"/>
      <c r="AA72" s="725"/>
      <c r="AI72" s="726"/>
      <c r="AJ72" s="727"/>
    </row>
    <row r="73" spans="3:36" x14ac:dyDescent="0.3">
      <c r="F73" s="690" t="s">
        <v>1222</v>
      </c>
      <c r="H73" s="750" t="s">
        <v>1085</v>
      </c>
      <c r="I73" s="1039"/>
      <c r="J73" s="753">
        <f>K69+J71</f>
        <v>23360</v>
      </c>
      <c r="K73" s="1039"/>
      <c r="L73" s="724"/>
      <c r="M73" s="1052"/>
      <c r="AA73" s="725"/>
      <c r="AI73" s="726"/>
      <c r="AJ73" s="727"/>
    </row>
    <row r="74" spans="3:36" x14ac:dyDescent="0.3">
      <c r="F74" s="690" t="s">
        <v>1224</v>
      </c>
      <c r="L74" s="724"/>
      <c r="M74" s="1052"/>
      <c r="AA74" s="725"/>
      <c r="AI74" s="726"/>
      <c r="AJ74" s="727"/>
    </row>
    <row r="75" spans="3:36" x14ac:dyDescent="0.3">
      <c r="F75" s="690" t="s">
        <v>1225</v>
      </c>
      <c r="H75" s="690" t="s">
        <v>1086</v>
      </c>
      <c r="J75" s="690">
        <f>J73*4</f>
        <v>93440</v>
      </c>
      <c r="L75" s="724"/>
      <c r="M75" s="1052"/>
      <c r="AA75" s="725"/>
      <c r="AI75" s="726"/>
      <c r="AJ75" s="727"/>
    </row>
    <row r="76" spans="3:36" x14ac:dyDescent="0.3">
      <c r="F76" s="690" t="s">
        <v>1226</v>
      </c>
      <c r="H76" s="690" t="s">
        <v>1087</v>
      </c>
      <c r="J76" s="690">
        <f>J73*4</f>
        <v>93440</v>
      </c>
      <c r="L76" s="724"/>
      <c r="M76" s="1052"/>
      <c r="AA76" s="725"/>
      <c r="AI76" s="726"/>
      <c r="AJ76" s="727"/>
    </row>
    <row r="77" spans="3:36" ht="16.2" customHeight="1" thickBot="1" x14ac:dyDescent="0.35">
      <c r="F77" s="690" t="s">
        <v>1221</v>
      </c>
      <c r="H77" s="760" t="s">
        <v>1088</v>
      </c>
      <c r="I77" s="1041"/>
      <c r="J77" s="761">
        <f>SUM(J73:J76)</f>
        <v>210240</v>
      </c>
      <c r="K77" s="1041"/>
      <c r="L77" s="724"/>
      <c r="M77" s="1052"/>
      <c r="AA77" s="725"/>
      <c r="AI77" s="726"/>
      <c r="AJ77" s="727"/>
    </row>
    <row r="78" spans="3:36" ht="16.2" customHeight="1" x14ac:dyDescent="0.3">
      <c r="L78" s="724"/>
      <c r="M78" s="1052"/>
      <c r="AA78" s="725"/>
      <c r="AI78" s="726"/>
      <c r="AJ78" s="727"/>
    </row>
    <row r="79" spans="3:36" x14ac:dyDescent="0.3">
      <c r="C79" s="691"/>
      <c r="D79" s="691" t="s">
        <v>1089</v>
      </c>
      <c r="E79" s="999"/>
      <c r="F79" s="691" t="s">
        <v>1090</v>
      </c>
      <c r="G79" s="949"/>
      <c r="H79" s="762" t="s">
        <v>1091</v>
      </c>
      <c r="I79" s="949"/>
      <c r="J79" s="762"/>
      <c r="K79" s="953"/>
      <c r="L79" s="724"/>
      <c r="M79" s="1052"/>
      <c r="AA79" s="725"/>
      <c r="AI79" s="726"/>
      <c r="AJ79" s="727"/>
    </row>
    <row r="80" spans="3:36" x14ac:dyDescent="0.3">
      <c r="D80" s="690">
        <f>D113</f>
        <v>21474836.48</v>
      </c>
      <c r="J80" s="690" t="s">
        <v>1092</v>
      </c>
      <c r="L80" s="724"/>
      <c r="M80" s="1052"/>
      <c r="AA80" s="725"/>
      <c r="AI80" s="726"/>
      <c r="AJ80" s="727"/>
    </row>
    <row r="81" spans="3:36" x14ac:dyDescent="0.3">
      <c r="D81" s="690">
        <f>D80</f>
        <v>21474836.48</v>
      </c>
      <c r="F81" s="690" t="s">
        <v>1093</v>
      </c>
      <c r="G81" s="947">
        <v>32</v>
      </c>
      <c r="H81" s="690">
        <f>D81*G81</f>
        <v>687194767.36000001</v>
      </c>
      <c r="I81" s="1042">
        <v>3.125E-2</v>
      </c>
      <c r="J81" s="690">
        <f>H81*I81</f>
        <v>21474836.48</v>
      </c>
      <c r="L81" s="724"/>
      <c r="M81" s="1052"/>
      <c r="AA81" s="725"/>
      <c r="AI81" s="726"/>
      <c r="AJ81" s="727"/>
    </row>
    <row r="82" spans="3:36" x14ac:dyDescent="0.3">
      <c r="D82" s="690">
        <f t="shared" ref="D82:D87" si="14">D81</f>
        <v>21474836.48</v>
      </c>
      <c r="F82" s="690" t="s">
        <v>1094</v>
      </c>
      <c r="G82" s="947">
        <v>16</v>
      </c>
      <c r="H82" s="690">
        <f t="shared" ref="H82:H87" si="15">D82*G82</f>
        <v>343597383.68000001</v>
      </c>
      <c r="I82" s="1042">
        <v>3.125E-2</v>
      </c>
      <c r="J82" s="690">
        <f t="shared" ref="J82:J87" si="16">H82*I82</f>
        <v>10737418.24</v>
      </c>
      <c r="L82" s="724"/>
      <c r="M82" s="1052"/>
      <c r="AA82" s="725"/>
      <c r="AI82" s="726"/>
      <c r="AJ82" s="727"/>
    </row>
    <row r="83" spans="3:36" x14ac:dyDescent="0.3">
      <c r="D83" s="690">
        <f t="shared" si="14"/>
        <v>21474836.48</v>
      </c>
      <c r="F83" s="690" t="s">
        <v>1095</v>
      </c>
      <c r="G83" s="947">
        <v>16</v>
      </c>
      <c r="H83" s="690">
        <f t="shared" si="15"/>
        <v>343597383.68000001</v>
      </c>
      <c r="I83" s="1042">
        <v>3.125E-2</v>
      </c>
      <c r="J83" s="690">
        <f t="shared" si="16"/>
        <v>10737418.24</v>
      </c>
      <c r="L83" s="724"/>
      <c r="M83" s="1052"/>
      <c r="AA83" s="725"/>
      <c r="AI83" s="726"/>
      <c r="AJ83" s="727"/>
    </row>
    <row r="84" spans="3:36" x14ac:dyDescent="0.3">
      <c r="D84" s="690">
        <f t="shared" si="14"/>
        <v>21474836.48</v>
      </c>
      <c r="F84" s="690" t="s">
        <v>1096</v>
      </c>
      <c r="G84" s="947">
        <v>16</v>
      </c>
      <c r="H84" s="690">
        <f t="shared" si="15"/>
        <v>343597383.68000001</v>
      </c>
      <c r="I84" s="1042">
        <v>3.125E-2</v>
      </c>
      <c r="J84" s="690">
        <f t="shared" si="16"/>
        <v>10737418.24</v>
      </c>
      <c r="L84" s="724"/>
      <c r="M84" s="1052"/>
      <c r="AA84" s="725"/>
      <c r="AI84" s="726"/>
      <c r="AJ84" s="727"/>
    </row>
    <row r="85" spans="3:36" x14ac:dyDescent="0.3">
      <c r="D85" s="690">
        <f t="shared" si="14"/>
        <v>21474836.48</v>
      </c>
      <c r="F85" s="690" t="s">
        <v>1097</v>
      </c>
      <c r="G85" s="947">
        <v>16</v>
      </c>
      <c r="H85" s="690">
        <f t="shared" si="15"/>
        <v>343597383.68000001</v>
      </c>
      <c r="I85" s="1042">
        <v>3.125E-2</v>
      </c>
      <c r="J85" s="690">
        <f t="shared" si="16"/>
        <v>10737418.24</v>
      </c>
      <c r="L85" s="724"/>
      <c r="M85" s="1052"/>
      <c r="AA85" s="725"/>
      <c r="AI85" s="726"/>
      <c r="AJ85" s="727"/>
    </row>
    <row r="86" spans="3:36" x14ac:dyDescent="0.3">
      <c r="D86" s="690">
        <f t="shared" si="14"/>
        <v>21474836.48</v>
      </c>
      <c r="F86" s="690" t="s">
        <v>1098</v>
      </c>
      <c r="G86" s="947">
        <v>16</v>
      </c>
      <c r="H86" s="690">
        <f t="shared" si="15"/>
        <v>343597383.68000001</v>
      </c>
      <c r="I86" s="1042">
        <v>3.125E-2</v>
      </c>
      <c r="J86" s="690">
        <f t="shared" si="16"/>
        <v>10737418.24</v>
      </c>
      <c r="L86" s="724"/>
      <c r="M86" s="1052"/>
      <c r="AA86" s="725"/>
      <c r="AI86" s="726"/>
      <c r="AJ86" s="727"/>
    </row>
    <row r="87" spans="3:36" x14ac:dyDescent="0.3">
      <c r="D87" s="690">
        <f t="shared" si="14"/>
        <v>21474836.48</v>
      </c>
      <c r="F87" s="690" t="s">
        <v>148</v>
      </c>
      <c r="G87" s="947">
        <v>16</v>
      </c>
      <c r="H87" s="690">
        <f t="shared" si="15"/>
        <v>343597383.68000001</v>
      </c>
      <c r="I87" s="1042">
        <v>3.125E-2</v>
      </c>
      <c r="J87" s="690">
        <f t="shared" si="16"/>
        <v>10737418.24</v>
      </c>
      <c r="L87" s="724"/>
      <c r="M87" s="1052"/>
      <c r="AA87" s="725"/>
      <c r="AI87" s="726"/>
      <c r="AJ87" s="727"/>
    </row>
    <row r="88" spans="3:36" ht="16.2" thickBot="1" x14ac:dyDescent="0.35">
      <c r="G88" s="1033">
        <f>SUM(G81:G87)</f>
        <v>128</v>
      </c>
      <c r="H88" s="763">
        <f>SUM(H81:H87)</f>
        <v>2748779069.4400001</v>
      </c>
      <c r="I88" s="1043"/>
      <c r="J88" s="840">
        <f>SUM(J81:J87)</f>
        <v>85899345.920000002</v>
      </c>
      <c r="L88" s="724"/>
      <c r="M88" s="1052"/>
      <c r="AA88" s="725"/>
      <c r="AI88" s="726"/>
      <c r="AJ88" s="727"/>
    </row>
    <row r="89" spans="3:36" x14ac:dyDescent="0.3">
      <c r="C89" s="764"/>
      <c r="D89" s="764"/>
      <c r="E89" s="1021"/>
      <c r="F89" s="764" t="s">
        <v>1099</v>
      </c>
      <c r="G89" s="1030"/>
      <c r="H89" s="765"/>
      <c r="I89" s="1044"/>
      <c r="J89" s="765"/>
      <c r="L89" s="724"/>
      <c r="M89" s="1052"/>
      <c r="AA89" s="725"/>
      <c r="AI89" s="726"/>
      <c r="AJ89" s="727"/>
    </row>
    <row r="90" spans="3:36" ht="16.2" thickBot="1" x14ac:dyDescent="0.35">
      <c r="C90" s="766"/>
      <c r="D90" s="766"/>
      <c r="E90" s="1022"/>
      <c r="F90" s="766" t="s">
        <v>1100</v>
      </c>
      <c r="I90" s="947" t="s">
        <v>1101</v>
      </c>
      <c r="L90" s="724"/>
      <c r="M90" s="1052"/>
      <c r="AA90" s="725"/>
      <c r="AI90" s="726"/>
      <c r="AJ90" s="727"/>
    </row>
    <row r="91" spans="3:36" ht="16.2" thickBot="1" x14ac:dyDescent="0.35">
      <c r="D91" s="690">
        <f>D87</f>
        <v>21474836.48</v>
      </c>
      <c r="F91" s="690" t="s">
        <v>1102</v>
      </c>
      <c r="G91" s="947">
        <v>16</v>
      </c>
      <c r="H91" s="690">
        <f t="shared" ref="H91:H97" si="17">D91*G91</f>
        <v>343597383.68000001</v>
      </c>
      <c r="I91" s="1045">
        <v>16</v>
      </c>
      <c r="J91" s="690">
        <f>H91/I91</f>
        <v>21474836.48</v>
      </c>
      <c r="L91" s="767"/>
      <c r="M91" s="1053"/>
      <c r="AA91" s="725"/>
      <c r="AI91" s="726"/>
      <c r="AJ91" s="727"/>
    </row>
    <row r="92" spans="3:36" x14ac:dyDescent="0.3">
      <c r="D92" s="690">
        <f>D91</f>
        <v>21474836.48</v>
      </c>
      <c r="F92" s="690" t="s">
        <v>1103</v>
      </c>
      <c r="G92" s="947">
        <v>12</v>
      </c>
      <c r="H92" s="690">
        <f t="shared" si="17"/>
        <v>257698037.75999999</v>
      </c>
      <c r="I92" s="938">
        <f>I91</f>
        <v>16</v>
      </c>
      <c r="J92" s="690">
        <f t="shared" ref="J92:J97" si="18">H92/I92</f>
        <v>16106127.359999999</v>
      </c>
      <c r="L92" s="767"/>
      <c r="M92" s="1053"/>
      <c r="AA92" s="725"/>
      <c r="AI92" s="726"/>
      <c r="AJ92" s="727"/>
    </row>
    <row r="93" spans="3:36" x14ac:dyDescent="0.3">
      <c r="D93" s="690">
        <f>D92</f>
        <v>21474836.48</v>
      </c>
      <c r="F93" s="690" t="s">
        <v>1104</v>
      </c>
      <c r="G93" s="947">
        <v>4</v>
      </c>
      <c r="H93" s="690">
        <f t="shared" si="17"/>
        <v>85899345.920000002</v>
      </c>
      <c r="I93" s="938">
        <f>I92</f>
        <v>16</v>
      </c>
      <c r="J93" s="690">
        <f t="shared" si="18"/>
        <v>5368709.1200000001</v>
      </c>
      <c r="L93" s="767"/>
      <c r="M93" s="1053"/>
      <c r="AA93" s="725"/>
      <c r="AI93" s="726"/>
      <c r="AJ93" s="727"/>
    </row>
    <row r="94" spans="3:36" x14ac:dyDescent="0.3">
      <c r="D94" s="690">
        <f>D93</f>
        <v>21474836.48</v>
      </c>
      <c r="F94" s="690" t="s">
        <v>1105</v>
      </c>
      <c r="G94" s="947">
        <v>12</v>
      </c>
      <c r="H94" s="690">
        <f t="shared" si="17"/>
        <v>257698037.75999999</v>
      </c>
      <c r="I94" s="938">
        <f>I93</f>
        <v>16</v>
      </c>
      <c r="J94" s="690">
        <f t="shared" si="18"/>
        <v>16106127.359999999</v>
      </c>
      <c r="L94" s="767"/>
      <c r="M94" s="1053"/>
      <c r="AA94" s="725"/>
      <c r="AI94" s="726"/>
      <c r="AJ94" s="727"/>
    </row>
    <row r="95" spans="3:36" x14ac:dyDescent="0.3">
      <c r="D95" s="690">
        <f t="shared" ref="D95:D97" si="19">D94</f>
        <v>21474836.48</v>
      </c>
      <c r="F95" s="690" t="s">
        <v>155</v>
      </c>
      <c r="G95" s="947">
        <v>12</v>
      </c>
      <c r="H95" s="690">
        <f t="shared" si="17"/>
        <v>257698037.75999999</v>
      </c>
      <c r="I95" s="938">
        <f>I94</f>
        <v>16</v>
      </c>
      <c r="J95" s="690">
        <f t="shared" si="18"/>
        <v>16106127.359999999</v>
      </c>
      <c r="L95" s="767"/>
      <c r="M95" s="1053"/>
      <c r="AA95" s="725"/>
      <c r="AI95" s="726"/>
      <c r="AJ95" s="727"/>
    </row>
    <row r="96" spans="3:36" x14ac:dyDescent="0.3">
      <c r="D96" s="690">
        <f t="shared" si="19"/>
        <v>21474836.48</v>
      </c>
      <c r="F96" s="690" t="s">
        <v>761</v>
      </c>
      <c r="G96" s="947">
        <v>16</v>
      </c>
      <c r="H96" s="690">
        <f t="shared" si="17"/>
        <v>343597383.68000001</v>
      </c>
      <c r="I96" s="938">
        <f t="shared" ref="I96:I97" si="20">I95</f>
        <v>16</v>
      </c>
      <c r="J96" s="690">
        <f t="shared" si="18"/>
        <v>21474836.48</v>
      </c>
      <c r="L96" s="767"/>
      <c r="M96" s="1053"/>
      <c r="AA96" s="725"/>
      <c r="AI96" s="726"/>
      <c r="AJ96" s="727"/>
    </row>
    <row r="97" spans="1:70" x14ac:dyDescent="0.3">
      <c r="D97" s="690">
        <f t="shared" si="19"/>
        <v>21474836.48</v>
      </c>
      <c r="F97" s="690" t="s">
        <v>148</v>
      </c>
      <c r="G97" s="947">
        <v>8</v>
      </c>
      <c r="H97" s="690">
        <f t="shared" si="17"/>
        <v>171798691.84</v>
      </c>
      <c r="I97" s="938">
        <f t="shared" si="20"/>
        <v>16</v>
      </c>
      <c r="J97" s="690">
        <f t="shared" si="18"/>
        <v>10737418.24</v>
      </c>
      <c r="L97" s="767"/>
      <c r="M97" s="1053"/>
      <c r="AA97" s="725"/>
      <c r="AI97" s="726"/>
      <c r="AJ97" s="727"/>
    </row>
    <row r="98" spans="1:70" ht="16.2" thickBot="1" x14ac:dyDescent="0.35">
      <c r="E98" s="938"/>
      <c r="G98" s="1034">
        <f>SUM(G91:G97)</f>
        <v>80</v>
      </c>
      <c r="H98" s="769">
        <f>SUM(H91:H97)</f>
        <v>1717986918.4000001</v>
      </c>
      <c r="I98" s="979"/>
      <c r="J98" s="769">
        <f>SUM(J91:J97)</f>
        <v>107374182.40000001</v>
      </c>
      <c r="L98" s="767"/>
      <c r="M98" s="1053"/>
      <c r="AA98" s="725"/>
      <c r="AI98" s="726"/>
      <c r="AJ98" s="727"/>
    </row>
    <row r="99" spans="1:70" ht="16.2" thickTop="1" x14ac:dyDescent="0.3">
      <c r="C99" s="766"/>
      <c r="D99" s="766"/>
      <c r="E99" s="1022"/>
      <c r="F99" s="766" t="s">
        <v>1106</v>
      </c>
      <c r="L99" s="767"/>
      <c r="M99" s="1053"/>
      <c r="AA99" s="725"/>
      <c r="AI99" s="726"/>
      <c r="AJ99" s="727"/>
    </row>
    <row r="100" spans="1:70" x14ac:dyDescent="0.3">
      <c r="C100" s="695"/>
      <c r="D100" s="695">
        <f>D97</f>
        <v>21474836.48</v>
      </c>
      <c r="E100" s="1023"/>
      <c r="F100" s="690" t="s">
        <v>1103</v>
      </c>
      <c r="G100" s="947">
        <v>12</v>
      </c>
      <c r="H100" s="690">
        <f t="shared" ref="H100:H101" si="21">D100*G100</f>
        <v>257698037.75999999</v>
      </c>
      <c r="I100" s="938">
        <f>I91</f>
        <v>16</v>
      </c>
      <c r="J100" s="690">
        <f t="shared" ref="J100:J104" si="22">H100/I100</f>
        <v>16106127.359999999</v>
      </c>
      <c r="L100" s="767"/>
      <c r="M100" s="1053"/>
      <c r="AA100" s="725"/>
      <c r="AI100" s="726"/>
      <c r="AJ100" s="727"/>
    </row>
    <row r="101" spans="1:70" x14ac:dyDescent="0.3">
      <c r="C101" s="695"/>
      <c r="D101" s="695">
        <f>D100</f>
        <v>21474836.48</v>
      </c>
      <c r="E101" s="1023"/>
      <c r="F101" s="690" t="s">
        <v>1105</v>
      </c>
      <c r="G101" s="947">
        <v>20</v>
      </c>
      <c r="H101" s="690">
        <f t="shared" si="21"/>
        <v>429496729.60000002</v>
      </c>
      <c r="I101" s="938">
        <f t="shared" ref="I101:I104" si="23">I100</f>
        <v>16</v>
      </c>
      <c r="J101" s="690">
        <f t="shared" si="22"/>
        <v>26843545.600000001</v>
      </c>
      <c r="L101" s="767"/>
      <c r="M101" s="1053"/>
      <c r="AA101" s="725"/>
      <c r="AI101" s="726"/>
      <c r="AJ101" s="727"/>
    </row>
    <row r="102" spans="1:70" x14ac:dyDescent="0.3">
      <c r="C102" s="695"/>
      <c r="D102" s="695">
        <f t="shared" ref="D102:D104" si="24">D101</f>
        <v>21474836.48</v>
      </c>
      <c r="E102" s="1023"/>
      <c r="F102" s="690" t="s">
        <v>155</v>
      </c>
      <c r="G102" s="947">
        <v>4</v>
      </c>
      <c r="H102" s="690">
        <v>0</v>
      </c>
      <c r="I102" s="938">
        <f t="shared" si="23"/>
        <v>16</v>
      </c>
      <c r="J102" s="690">
        <f t="shared" si="22"/>
        <v>0</v>
      </c>
      <c r="L102" s="767"/>
      <c r="M102" s="1053"/>
      <c r="AA102" s="725"/>
      <c r="AI102" s="726"/>
      <c r="AJ102" s="727"/>
    </row>
    <row r="103" spans="1:70" x14ac:dyDescent="0.3">
      <c r="C103" s="695"/>
      <c r="D103" s="695">
        <f t="shared" si="24"/>
        <v>21474836.48</v>
      </c>
      <c r="E103" s="1023"/>
      <c r="F103" s="690" t="s">
        <v>761</v>
      </c>
      <c r="G103" s="947">
        <v>4</v>
      </c>
      <c r="H103" s="690">
        <f t="shared" ref="H103:H104" si="25">D103*G103</f>
        <v>85899345.920000002</v>
      </c>
      <c r="I103" s="938">
        <f t="shared" si="23"/>
        <v>16</v>
      </c>
      <c r="J103" s="690">
        <f t="shared" si="22"/>
        <v>5368709.1200000001</v>
      </c>
      <c r="L103" s="767"/>
      <c r="M103" s="1053"/>
      <c r="AA103" s="725"/>
      <c r="AI103" s="726"/>
      <c r="AJ103" s="727"/>
    </row>
    <row r="104" spans="1:70" x14ac:dyDescent="0.3">
      <c r="C104" s="695"/>
      <c r="D104" s="695">
        <f t="shared" si="24"/>
        <v>21474836.48</v>
      </c>
      <c r="E104" s="1023"/>
      <c r="F104" s="690" t="s">
        <v>148</v>
      </c>
      <c r="G104" s="947">
        <v>8</v>
      </c>
      <c r="H104" s="690">
        <f t="shared" si="25"/>
        <v>171798691.84</v>
      </c>
      <c r="I104" s="938">
        <f t="shared" si="23"/>
        <v>16</v>
      </c>
      <c r="J104" s="690">
        <f t="shared" si="22"/>
        <v>10737418.24</v>
      </c>
      <c r="L104" s="767"/>
      <c r="M104" s="1053"/>
      <c r="AA104" s="725"/>
      <c r="AI104" s="726"/>
      <c r="AJ104" s="727"/>
    </row>
    <row r="105" spans="1:70" ht="16.2" thickBot="1" x14ac:dyDescent="0.35">
      <c r="C105" s="695"/>
      <c r="D105" s="695"/>
      <c r="E105" s="1023"/>
      <c r="F105" s="695"/>
      <c r="G105" s="1034">
        <f>SUM(G100:G104)</f>
        <v>48</v>
      </c>
      <c r="H105" s="769">
        <f>SUM(H100:H104)</f>
        <v>944892805.12</v>
      </c>
      <c r="I105" s="979"/>
      <c r="J105" s="769">
        <f>SUM(J100:J104)</f>
        <v>59055800.32</v>
      </c>
      <c r="L105" s="767"/>
      <c r="M105" s="1053"/>
      <c r="AA105" s="725"/>
      <c r="AI105" s="726"/>
      <c r="AJ105" s="727"/>
    </row>
    <row r="106" spans="1:70" ht="16.2" thickTop="1" x14ac:dyDescent="0.3">
      <c r="C106" s="695"/>
      <c r="D106" s="695"/>
      <c r="E106" s="1023"/>
      <c r="F106" s="695"/>
      <c r="J106" s="754" t="s">
        <v>1107</v>
      </c>
      <c r="L106" s="767"/>
      <c r="M106" s="1053"/>
      <c r="AA106" s="725"/>
      <c r="AI106" s="726"/>
      <c r="AJ106" s="727"/>
    </row>
    <row r="107" spans="1:70" ht="16.2" thickBot="1" x14ac:dyDescent="0.35">
      <c r="F107" s="754" t="s">
        <v>1108</v>
      </c>
      <c r="G107" s="1033">
        <f>G98+G105</f>
        <v>128</v>
      </c>
      <c r="H107" s="763">
        <f>H98+H105</f>
        <v>2662879723.52</v>
      </c>
      <c r="I107" s="1043"/>
      <c r="J107" s="840">
        <f>J98+J105</f>
        <v>166429982.72</v>
      </c>
      <c r="L107" s="767"/>
      <c r="M107" s="1053"/>
      <c r="AA107" s="725"/>
      <c r="AI107" s="726"/>
      <c r="AJ107" s="727"/>
    </row>
    <row r="108" spans="1:70" x14ac:dyDescent="0.3">
      <c r="J108" s="105">
        <f>J107*12</f>
        <v>1997159792.6399999</v>
      </c>
      <c r="L108" s="767"/>
      <c r="M108" s="1053"/>
      <c r="AA108" s="725"/>
      <c r="AI108" s="726"/>
      <c r="AJ108" s="727"/>
    </row>
    <row r="109" spans="1:70" s="1515" customFormat="1" ht="23.4" x14ac:dyDescent="0.45">
      <c r="A109" s="1499"/>
      <c r="B109" s="1500"/>
      <c r="C109" s="1501"/>
      <c r="D109" s="1501" t="s">
        <v>1673</v>
      </c>
      <c r="E109" s="1502"/>
      <c r="F109" s="1501"/>
      <c r="G109" s="1503"/>
      <c r="H109" s="1501"/>
      <c r="I109" s="1504"/>
      <c r="J109" s="1501"/>
      <c r="K109" s="1504"/>
      <c r="L109" s="1505" t="s">
        <v>1674</v>
      </c>
      <c r="M109" s="1506"/>
      <c r="N109" s="1507" t="s">
        <v>1674</v>
      </c>
      <c r="O109" s="1501"/>
      <c r="P109" s="1501"/>
      <c r="Q109" s="1501"/>
      <c r="R109" s="1507"/>
      <c r="S109" s="1501"/>
      <c r="T109" s="1508"/>
      <c r="U109" s="1507"/>
      <c r="V109" s="1501"/>
      <c r="W109" s="1509"/>
      <c r="X109" s="1501"/>
      <c r="Y109" s="1501"/>
      <c r="Z109" s="1503"/>
      <c r="AA109" s="1510"/>
      <c r="AB109" s="1511"/>
      <c r="AC109" s="1511"/>
      <c r="AD109" s="1511"/>
      <c r="AE109" s="1511"/>
      <c r="AF109" s="1511"/>
      <c r="AG109" s="1511"/>
      <c r="AH109" s="1511"/>
      <c r="AI109" s="1512"/>
      <c r="AJ109" s="1513"/>
      <c r="AK109" s="1514"/>
      <c r="BR109" s="1516"/>
    </row>
    <row r="110" spans="1:70" ht="16.2" thickBot="1" x14ac:dyDescent="0.35">
      <c r="L110" s="724"/>
      <c r="M110" s="1052"/>
      <c r="Y110" s="787"/>
      <c r="Z110" s="1165"/>
      <c r="AA110" s="725"/>
      <c r="AI110" s="726"/>
      <c r="AJ110" s="727"/>
    </row>
    <row r="111" spans="1:70" ht="16.2" thickBot="1" x14ac:dyDescent="0.35">
      <c r="D111" s="788">
        <f>'[1]POP Dimensions'!L17</f>
        <v>2748779069.4400001</v>
      </c>
      <c r="E111" s="947" t="s">
        <v>1036</v>
      </c>
      <c r="F111" s="693" t="s">
        <v>1037</v>
      </c>
      <c r="G111" s="947" t="s">
        <v>1111</v>
      </c>
      <c r="H111" s="693" t="s">
        <v>1112</v>
      </c>
      <c r="I111" s="947" t="s">
        <v>1113</v>
      </c>
      <c r="J111" s="693" t="s">
        <v>1114</v>
      </c>
      <c r="L111" s="724" t="s">
        <v>1112</v>
      </c>
      <c r="M111" s="1052"/>
      <c r="N111" s="789"/>
      <c r="O111" s="693"/>
      <c r="P111" s="693" t="s">
        <v>1112</v>
      </c>
      <c r="Q111" s="693" t="s">
        <v>1115</v>
      </c>
      <c r="R111" s="789" t="s">
        <v>1113</v>
      </c>
      <c r="S111" s="693" t="s">
        <v>1116</v>
      </c>
      <c r="U111" s="789"/>
      <c r="V111" s="693" t="s">
        <v>1117</v>
      </c>
      <c r="W111" s="80" t="s">
        <v>684</v>
      </c>
      <c r="X111" s="693"/>
      <c r="Y111" s="790" t="s">
        <v>1118</v>
      </c>
      <c r="Z111" s="1166" t="s">
        <v>1112</v>
      </c>
      <c r="AA111" s="725"/>
      <c r="AC111" s="695" t="s">
        <v>1228</v>
      </c>
      <c r="AI111" s="726"/>
      <c r="AJ111" s="727"/>
      <c r="AL111" s="693">
        <v>1</v>
      </c>
      <c r="AM111" s="693">
        <f>AL111+1</f>
        <v>2</v>
      </c>
      <c r="AN111" s="693">
        <f t="shared" ref="AN111:BQ111" si="26">AM111+1</f>
        <v>3</v>
      </c>
      <c r="AO111" s="693">
        <f t="shared" si="26"/>
        <v>4</v>
      </c>
      <c r="AP111" s="693">
        <f t="shared" si="26"/>
        <v>5</v>
      </c>
      <c r="AQ111" s="693">
        <f t="shared" si="26"/>
        <v>6</v>
      </c>
      <c r="AR111" s="693">
        <f t="shared" si="26"/>
        <v>7</v>
      </c>
      <c r="AS111" s="693">
        <f t="shared" si="26"/>
        <v>8</v>
      </c>
      <c r="AT111" s="791">
        <f t="shared" si="26"/>
        <v>9</v>
      </c>
      <c r="AU111" s="690">
        <f t="shared" si="26"/>
        <v>10</v>
      </c>
      <c r="AV111" s="690">
        <f t="shared" si="26"/>
        <v>11</v>
      </c>
      <c r="AW111" s="690">
        <f t="shared" si="26"/>
        <v>12</v>
      </c>
      <c r="AX111" s="690">
        <f t="shared" si="26"/>
        <v>13</v>
      </c>
      <c r="AY111" s="690">
        <f t="shared" si="26"/>
        <v>14</v>
      </c>
      <c r="AZ111" s="690">
        <f t="shared" si="26"/>
        <v>15</v>
      </c>
      <c r="BA111" s="690">
        <f t="shared" si="26"/>
        <v>16</v>
      </c>
      <c r="BB111" s="791">
        <f t="shared" si="26"/>
        <v>17</v>
      </c>
      <c r="BC111" s="690">
        <f t="shared" si="26"/>
        <v>18</v>
      </c>
      <c r="BD111" s="690">
        <f t="shared" si="26"/>
        <v>19</v>
      </c>
      <c r="BE111" s="690">
        <f t="shared" si="26"/>
        <v>20</v>
      </c>
      <c r="BF111" s="690">
        <f t="shared" si="26"/>
        <v>21</v>
      </c>
      <c r="BG111" s="690">
        <f t="shared" si="26"/>
        <v>22</v>
      </c>
      <c r="BH111" s="690">
        <f t="shared" si="26"/>
        <v>23</v>
      </c>
      <c r="BI111" s="690">
        <f t="shared" si="26"/>
        <v>24</v>
      </c>
      <c r="BJ111" s="791">
        <f t="shared" si="26"/>
        <v>25</v>
      </c>
      <c r="BK111" s="690">
        <f t="shared" si="26"/>
        <v>26</v>
      </c>
      <c r="BL111" s="690">
        <f t="shared" si="26"/>
        <v>27</v>
      </c>
      <c r="BM111" s="690">
        <f t="shared" si="26"/>
        <v>28</v>
      </c>
      <c r="BN111" s="690">
        <f t="shared" si="26"/>
        <v>29</v>
      </c>
      <c r="BO111" s="690">
        <f t="shared" si="26"/>
        <v>30</v>
      </c>
      <c r="BP111" s="690">
        <f t="shared" si="26"/>
        <v>31</v>
      </c>
      <c r="BQ111" s="690">
        <f t="shared" si="26"/>
        <v>32</v>
      </c>
    </row>
    <row r="112" spans="1:70" ht="16.2" thickBot="1" x14ac:dyDescent="0.35">
      <c r="C112" s="695"/>
      <c r="D112" s="695">
        <v>128</v>
      </c>
      <c r="F112" s="693" t="s">
        <v>1112</v>
      </c>
      <c r="G112" s="947" t="s">
        <v>1119</v>
      </c>
      <c r="H112" s="693" t="s">
        <v>1120</v>
      </c>
      <c r="I112" s="947" t="s">
        <v>297</v>
      </c>
      <c r="J112" s="693" t="s">
        <v>1121</v>
      </c>
      <c r="L112" s="724" t="s">
        <v>1122</v>
      </c>
      <c r="M112" s="1052"/>
      <c r="N112" s="789"/>
      <c r="O112" s="693"/>
      <c r="P112" s="693"/>
      <c r="Q112" s="693" t="s">
        <v>1123</v>
      </c>
      <c r="R112" s="789" t="s">
        <v>297</v>
      </c>
      <c r="S112" s="693" t="s">
        <v>1124</v>
      </c>
      <c r="U112" s="789"/>
      <c r="V112" s="693" t="s">
        <v>1125</v>
      </c>
      <c r="W112" s="792" t="s">
        <v>1126</v>
      </c>
      <c r="X112" s="693"/>
      <c r="Y112" s="790" t="s">
        <v>1127</v>
      </c>
      <c r="Z112" s="1166" t="s">
        <v>1128</v>
      </c>
      <c r="AA112" s="725"/>
      <c r="AC112" s="695" t="s">
        <v>1227</v>
      </c>
      <c r="AI112" s="726"/>
      <c r="AJ112" s="727"/>
      <c r="AL112" s="793" t="str">
        <f>F10</f>
        <v>Property Developer &amp; Labour</v>
      </c>
      <c r="AM112" s="793"/>
      <c r="AN112" s="693" t="str">
        <f>F12</f>
        <v>Interiors / Shop Fitting / Kitchens / Bathrooms</v>
      </c>
      <c r="AO112" s="793"/>
      <c r="AP112" s="845"/>
      <c r="AQ112" s="845"/>
      <c r="AR112" s="845"/>
      <c r="AS112" s="845"/>
      <c r="AT112" s="795"/>
      <c r="AU112" s="845"/>
      <c r="AV112" s="845"/>
      <c r="AW112" s="845"/>
      <c r="AX112" s="845"/>
      <c r="AY112" s="845"/>
      <c r="AZ112" s="845"/>
      <c r="BA112" s="845"/>
      <c r="BB112" s="795"/>
      <c r="BC112" s="845"/>
      <c r="BD112" s="845"/>
      <c r="BE112" s="845"/>
      <c r="BF112" s="845"/>
      <c r="BG112" s="845"/>
      <c r="BH112" s="845"/>
      <c r="BI112" s="845"/>
      <c r="BJ112" s="795"/>
      <c r="BK112" s="845"/>
      <c r="BL112" s="845"/>
      <c r="BM112" s="845"/>
      <c r="BN112" s="845"/>
      <c r="BO112" s="845"/>
      <c r="BP112" s="845"/>
      <c r="BQ112" s="845"/>
    </row>
    <row r="113" spans="1:78" x14ac:dyDescent="0.3">
      <c r="C113" s="695"/>
      <c r="D113" s="796">
        <f>D111/D112</f>
        <v>21474836.48</v>
      </c>
      <c r="G113" s="947" t="s">
        <v>1115</v>
      </c>
      <c r="H113" s="693"/>
      <c r="I113" s="1047">
        <v>1</v>
      </c>
      <c r="J113" s="693" t="s">
        <v>1129</v>
      </c>
      <c r="L113" s="724"/>
      <c r="M113" s="1052"/>
      <c r="N113" s="789"/>
      <c r="O113" s="693"/>
      <c r="P113" s="693"/>
      <c r="Q113" s="693"/>
      <c r="R113" s="797">
        <v>1</v>
      </c>
      <c r="S113" s="693" t="s">
        <v>1123</v>
      </c>
      <c r="U113" s="789"/>
      <c r="V113" s="693" t="s">
        <v>1130</v>
      </c>
      <c r="W113" s="792" t="s">
        <v>59</v>
      </c>
      <c r="X113" s="693"/>
      <c r="Y113" s="790" t="s">
        <v>1112</v>
      </c>
      <c r="Z113" s="1167"/>
      <c r="AA113" s="798" t="s">
        <v>1131</v>
      </c>
      <c r="AI113" s="799"/>
      <c r="AJ113" s="727"/>
      <c r="AL113" s="693"/>
      <c r="AM113" s="693" t="str">
        <f>F11</f>
        <v>Building Supplies (Manufactured)</v>
      </c>
      <c r="AN113" s="693"/>
      <c r="AO113" s="693" t="str">
        <f>F13</f>
        <v xml:space="preserve">Electronics / Computers </v>
      </c>
    </row>
    <row r="114" spans="1:78" ht="18.600000000000001" x14ac:dyDescent="0.45">
      <c r="A114" s="800"/>
      <c r="B114" s="730"/>
      <c r="C114" s="730"/>
      <c r="D114" s="730">
        <f>D113</f>
        <v>21474836.48</v>
      </c>
      <c r="E114" s="1011">
        <v>2</v>
      </c>
      <c r="F114" s="708" t="str">
        <f>F11</f>
        <v>Building Supplies (Manufactured)</v>
      </c>
      <c r="G114" s="1027">
        <v>1</v>
      </c>
      <c r="H114" s="708">
        <f>D114*G114</f>
        <v>21474836.48</v>
      </c>
      <c r="I114" s="1037">
        <f>I113</f>
        <v>1</v>
      </c>
      <c r="J114" s="708">
        <f>H114*I114</f>
        <v>21474836.48</v>
      </c>
      <c r="K114" s="1064">
        <v>2</v>
      </c>
      <c r="L114" s="801" t="str">
        <f>F11</f>
        <v>Building Supplies (Manufactured)</v>
      </c>
      <c r="M114" s="1055"/>
      <c r="N114" s="1170"/>
      <c r="O114" s="714" t="s">
        <v>1133</v>
      </c>
      <c r="P114" s="1049">
        <f>K114</f>
        <v>2</v>
      </c>
      <c r="Q114" s="802">
        <f>G36</f>
        <v>16</v>
      </c>
      <c r="R114" s="803">
        <f>R113</f>
        <v>1</v>
      </c>
      <c r="S114" s="714" t="s">
        <v>1116</v>
      </c>
      <c r="T114" s="714" t="s">
        <v>1134</v>
      </c>
      <c r="U114" s="804"/>
      <c r="V114" s="714" t="s">
        <v>1135</v>
      </c>
      <c r="W114" s="805" t="s">
        <v>684</v>
      </c>
      <c r="X114" s="714"/>
      <c r="Y114" s="714" t="s">
        <v>1136</v>
      </c>
      <c r="Z114" s="1135" t="s">
        <v>1036</v>
      </c>
      <c r="AA114" s="806">
        <f>AI211</f>
        <v>0.47737499999999994</v>
      </c>
      <c r="AB114" s="875"/>
      <c r="AC114" s="708" t="s">
        <v>1137</v>
      </c>
      <c r="AD114" s="708" t="s">
        <v>1138</v>
      </c>
      <c r="AE114" s="708" t="s">
        <v>1139</v>
      </c>
      <c r="AF114" s="708" t="s">
        <v>1140</v>
      </c>
      <c r="AG114" s="708" t="s">
        <v>1141</v>
      </c>
      <c r="AH114" s="708" t="s">
        <v>148</v>
      </c>
      <c r="AI114" s="808"/>
      <c r="AJ114" s="809"/>
      <c r="AL114" s="693"/>
      <c r="AM114" s="693"/>
      <c r="AN114" s="693"/>
      <c r="AO114" s="693"/>
      <c r="AP114" s="693"/>
      <c r="AQ114" s="693"/>
      <c r="AR114" s="693"/>
      <c r="AS114" s="693"/>
    </row>
    <row r="115" spans="1:78" s="845" customFormat="1" ht="16.8" x14ac:dyDescent="0.4">
      <c r="A115" s="695"/>
      <c r="B115" s="810"/>
      <c r="C115" s="723"/>
      <c r="D115" s="723"/>
      <c r="E115" s="1025"/>
      <c r="F115" s="695"/>
      <c r="G115" s="1025"/>
      <c r="H115" s="695"/>
      <c r="I115" s="989"/>
      <c r="J115" s="734">
        <f>J114</f>
        <v>21474836.48</v>
      </c>
      <c r="K115" s="989"/>
      <c r="L115" s="811" t="s">
        <v>1142</v>
      </c>
      <c r="M115" s="1052">
        <f>Z115</f>
        <v>10</v>
      </c>
      <c r="N115" s="1493">
        <v>0.05</v>
      </c>
      <c r="O115" s="734">
        <f>J115*N115</f>
        <v>1073741.824</v>
      </c>
      <c r="P115" s="734"/>
      <c r="Q115" s="744">
        <f>Q114</f>
        <v>16</v>
      </c>
      <c r="R115" s="812">
        <f>R114</f>
        <v>1</v>
      </c>
      <c r="S115" s="734">
        <f>O115*Q115*R115</f>
        <v>17179869.184</v>
      </c>
      <c r="T115" s="744" t="s">
        <v>1143</v>
      </c>
      <c r="U115" s="812">
        <v>0.25</v>
      </c>
      <c r="V115" s="734">
        <f>S115*U115</f>
        <v>4294967.2960000001</v>
      </c>
      <c r="W115" s="813">
        <f>N115*U115</f>
        <v>1.2500000000000001E-2</v>
      </c>
      <c r="X115" s="734" t="s">
        <v>1144</v>
      </c>
      <c r="Y115" s="734" t="s">
        <v>1054</v>
      </c>
      <c r="Z115" s="1168">
        <v>10</v>
      </c>
      <c r="AA115" s="814"/>
      <c r="AB115" s="748"/>
      <c r="AC115" s="695">
        <f>V115</f>
        <v>4294967.2960000001</v>
      </c>
      <c r="AD115" s="695"/>
      <c r="AE115" s="695"/>
      <c r="AF115" s="695"/>
      <c r="AG115" s="695"/>
      <c r="AH115" s="695"/>
      <c r="AI115" s="815"/>
      <c r="AJ115" s="816"/>
      <c r="AK115" s="817"/>
      <c r="AT115" s="795"/>
      <c r="BB115" s="795"/>
      <c r="BJ115" s="795"/>
      <c r="BR115" s="691"/>
      <c r="BZ115" s="818"/>
    </row>
    <row r="116" spans="1:78" x14ac:dyDescent="0.3">
      <c r="B116" s="722"/>
      <c r="C116" s="723"/>
      <c r="D116" s="723"/>
      <c r="I116" s="1044"/>
      <c r="J116" s="765"/>
      <c r="K116" s="1044"/>
      <c r="L116" s="819"/>
      <c r="M116" s="1052" t="str">
        <f t="shared" ref="M116:M119" si="27">Z116</f>
        <v>0A</v>
      </c>
      <c r="N116" s="95">
        <f>N115</f>
        <v>0.05</v>
      </c>
      <c r="O116" s="765"/>
      <c r="P116" s="837"/>
      <c r="Q116" s="822"/>
      <c r="R116" s="95"/>
      <c r="S116" s="765">
        <f>S115</f>
        <v>17179869.184</v>
      </c>
      <c r="T116" s="823" t="s">
        <v>1044</v>
      </c>
      <c r="U116" s="95">
        <v>0</v>
      </c>
      <c r="V116" s="765">
        <f t="shared" ref="V116:V119" si="28">S116*U116</f>
        <v>0</v>
      </c>
      <c r="W116" s="824">
        <f>N116*U116</f>
        <v>0</v>
      </c>
      <c r="X116" s="765" t="s">
        <v>1144</v>
      </c>
      <c r="Y116" s="825" t="s">
        <v>1044</v>
      </c>
      <c r="Z116" s="1166" t="s">
        <v>1041</v>
      </c>
      <c r="AA116" s="725"/>
      <c r="AC116" s="695">
        <f>V116</f>
        <v>0</v>
      </c>
      <c r="AI116" s="826"/>
      <c r="AJ116" s="727"/>
    </row>
    <row r="117" spans="1:78" x14ac:dyDescent="0.3">
      <c r="B117" s="722"/>
      <c r="C117" s="723"/>
      <c r="D117" s="723"/>
      <c r="I117" s="1044"/>
      <c r="J117" s="765"/>
      <c r="K117" s="1044"/>
      <c r="L117" s="819"/>
      <c r="M117" s="1052">
        <f t="shared" si="27"/>
        <v>1</v>
      </c>
      <c r="N117" s="95">
        <f>N116</f>
        <v>0.05</v>
      </c>
      <c r="O117" s="765"/>
      <c r="P117" s="837"/>
      <c r="Q117" s="822"/>
      <c r="R117" s="95"/>
      <c r="S117" s="765">
        <f>S116</f>
        <v>17179869.184</v>
      </c>
      <c r="T117" s="823" t="s">
        <v>1145</v>
      </c>
      <c r="U117" s="95">
        <v>0.4</v>
      </c>
      <c r="V117" s="765">
        <f t="shared" si="28"/>
        <v>6871947.6736000003</v>
      </c>
      <c r="W117" s="824">
        <f>N117*U117</f>
        <v>2.0000000000000004E-2</v>
      </c>
      <c r="X117" s="765" t="s">
        <v>1144</v>
      </c>
      <c r="Y117" s="734" t="s">
        <v>1045</v>
      </c>
      <c r="Z117" s="1166">
        <v>1</v>
      </c>
      <c r="AA117" s="725"/>
      <c r="AC117" s="695">
        <f>V117</f>
        <v>6871947.6736000003</v>
      </c>
      <c r="AI117" s="826"/>
      <c r="AJ117" s="727"/>
      <c r="AL117" s="693">
        <f>V117</f>
        <v>6871947.6736000003</v>
      </c>
      <c r="AM117" s="693"/>
      <c r="AO117" s="693"/>
    </row>
    <row r="118" spans="1:78" x14ac:dyDescent="0.3">
      <c r="B118" s="722"/>
      <c r="C118" s="723"/>
      <c r="D118" s="723"/>
      <c r="I118" s="1044"/>
      <c r="J118" s="765"/>
      <c r="K118" s="1044"/>
      <c r="L118" s="819"/>
      <c r="M118" s="1052">
        <f t="shared" si="27"/>
        <v>6</v>
      </c>
      <c r="N118" s="95">
        <f t="shared" ref="N118:N119" si="29">N117</f>
        <v>0.05</v>
      </c>
      <c r="O118" s="765"/>
      <c r="P118" s="837"/>
      <c r="Q118" s="822"/>
      <c r="R118" s="95"/>
      <c r="S118" s="765">
        <f>S117</f>
        <v>17179869.184</v>
      </c>
      <c r="T118" s="823" t="s">
        <v>1146</v>
      </c>
      <c r="U118" s="95">
        <v>0.1</v>
      </c>
      <c r="V118" s="765">
        <f t="shared" si="28"/>
        <v>1717986.9184000001</v>
      </c>
      <c r="W118" s="824">
        <f>N118*U118</f>
        <v>5.000000000000001E-3</v>
      </c>
      <c r="X118" s="765" t="s">
        <v>1144</v>
      </c>
      <c r="Y118" s="734" t="s">
        <v>1050</v>
      </c>
      <c r="Z118" s="1166">
        <v>6</v>
      </c>
      <c r="AA118" s="725"/>
      <c r="AC118" s="695">
        <f>V118</f>
        <v>1717986.9184000001</v>
      </c>
      <c r="AI118" s="826"/>
      <c r="AJ118" s="727"/>
      <c r="AL118" s="693"/>
      <c r="AM118" s="693"/>
      <c r="AN118" s="693"/>
    </row>
    <row r="119" spans="1:78" x14ac:dyDescent="0.3">
      <c r="B119" s="722"/>
      <c r="C119" s="723"/>
      <c r="D119" s="723"/>
      <c r="I119" s="1044"/>
      <c r="J119" s="765"/>
      <c r="K119" s="1044"/>
      <c r="L119" s="819"/>
      <c r="M119" s="1052">
        <f t="shared" si="27"/>
        <v>32</v>
      </c>
      <c r="N119" s="95">
        <f t="shared" si="29"/>
        <v>0.05</v>
      </c>
      <c r="O119" s="765"/>
      <c r="P119" s="837"/>
      <c r="Q119" s="822"/>
      <c r="R119" s="95"/>
      <c r="S119" s="765">
        <f>S118</f>
        <v>17179869.184</v>
      </c>
      <c r="T119" s="823" t="s">
        <v>148</v>
      </c>
      <c r="U119" s="95">
        <v>0.25</v>
      </c>
      <c r="V119" s="765">
        <f t="shared" si="28"/>
        <v>4294967.2960000001</v>
      </c>
      <c r="W119" s="824">
        <f>N119*U119</f>
        <v>1.2500000000000001E-2</v>
      </c>
      <c r="X119" s="765" t="s">
        <v>1144</v>
      </c>
      <c r="Y119" s="765" t="s">
        <v>148</v>
      </c>
      <c r="Z119" s="1166">
        <v>32</v>
      </c>
      <c r="AA119" s="725"/>
      <c r="AE119" s="695">
        <f>V119</f>
        <v>4294967.2960000001</v>
      </c>
      <c r="AH119" s="695">
        <f>V119</f>
        <v>4294967.2960000001</v>
      </c>
      <c r="AI119" s="826"/>
      <c r="AJ119" s="727"/>
    </row>
    <row r="120" spans="1:78" ht="16.2" thickBot="1" x14ac:dyDescent="0.35">
      <c r="B120" s="722"/>
      <c r="C120" s="723"/>
      <c r="D120" s="723"/>
      <c r="I120" s="1044"/>
      <c r="J120" s="765"/>
      <c r="K120" s="1044"/>
      <c r="L120" s="819"/>
      <c r="M120" s="1056"/>
      <c r="N120" s="95"/>
      <c r="O120" s="765"/>
      <c r="P120" s="837"/>
      <c r="Q120" s="822"/>
      <c r="R120" s="95"/>
      <c r="S120" s="765"/>
      <c r="T120" s="823"/>
      <c r="U120" s="827">
        <f>SUM(U114:U119)</f>
        <v>1</v>
      </c>
      <c r="V120" s="765"/>
      <c r="W120" s="824"/>
      <c r="X120" s="765"/>
      <c r="Y120" s="765"/>
      <c r="Z120" s="1166"/>
      <c r="AA120" s="725"/>
      <c r="AI120" s="826"/>
      <c r="AJ120" s="727"/>
    </row>
    <row r="121" spans="1:78" ht="7.95" customHeight="1" x14ac:dyDescent="0.3">
      <c r="B121" s="722"/>
      <c r="C121" s="723"/>
      <c r="D121" s="723"/>
      <c r="I121" s="1044"/>
      <c r="J121" s="765"/>
      <c r="K121" s="1044"/>
      <c r="L121" s="724"/>
      <c r="M121" s="1052"/>
      <c r="N121" s="95"/>
      <c r="O121" s="765"/>
      <c r="P121" s="837"/>
      <c r="Q121" s="822"/>
      <c r="R121" s="95"/>
      <c r="S121" s="765"/>
      <c r="T121" s="823"/>
      <c r="U121" s="95"/>
      <c r="V121" s="765"/>
      <c r="W121" s="824"/>
      <c r="X121" s="765"/>
      <c r="Y121" s="765"/>
      <c r="Z121" s="1166"/>
      <c r="AA121" s="725"/>
      <c r="AI121" s="826"/>
      <c r="AJ121" s="727"/>
    </row>
    <row r="122" spans="1:78" ht="16.8" x14ac:dyDescent="0.4">
      <c r="B122" s="722"/>
      <c r="C122" s="723"/>
      <c r="D122" s="723"/>
      <c r="I122" s="1044"/>
      <c r="J122" s="765">
        <f>J115</f>
        <v>21474836.48</v>
      </c>
      <c r="K122" s="1044"/>
      <c r="L122" s="724" t="s">
        <v>1147</v>
      </c>
      <c r="M122" s="1052">
        <f t="shared" ref="M122:M123" si="30">Z122</f>
        <v>2</v>
      </c>
      <c r="N122" s="1490">
        <v>0.4</v>
      </c>
      <c r="O122" s="765">
        <f>J122*N122</f>
        <v>8589934.5920000002</v>
      </c>
      <c r="P122" s="837"/>
      <c r="Q122" s="822">
        <f>Q115</f>
        <v>16</v>
      </c>
      <c r="R122" s="95">
        <f>R115</f>
        <v>1</v>
      </c>
      <c r="S122" s="734">
        <f>O122*Q122*R122</f>
        <v>137438953.472</v>
      </c>
      <c r="T122" s="823" t="s">
        <v>1148</v>
      </c>
      <c r="U122" s="95">
        <v>0.9</v>
      </c>
      <c r="V122" s="765">
        <f t="shared" ref="V122:V123" si="31">S122*U122</f>
        <v>123695058.12480001</v>
      </c>
      <c r="W122" s="824">
        <f>N122*U122</f>
        <v>0.36000000000000004</v>
      </c>
      <c r="X122" s="765" t="s">
        <v>1144</v>
      </c>
      <c r="Y122" s="765" t="s">
        <v>1046</v>
      </c>
      <c r="Z122" s="1166">
        <v>2</v>
      </c>
      <c r="AA122" s="725"/>
      <c r="AG122" s="695">
        <f>V122</f>
        <v>123695058.12480001</v>
      </c>
      <c r="AI122" s="826"/>
      <c r="AJ122" s="727"/>
    </row>
    <row r="123" spans="1:78" x14ac:dyDescent="0.3">
      <c r="B123" s="722"/>
      <c r="C123" s="723"/>
      <c r="D123" s="723"/>
      <c r="I123" s="1044"/>
      <c r="J123" s="765"/>
      <c r="K123" s="1044"/>
      <c r="L123" s="724" t="s">
        <v>1149</v>
      </c>
      <c r="M123" s="1052">
        <f t="shared" si="30"/>
        <v>23</v>
      </c>
      <c r="N123" s="95">
        <f>N122</f>
        <v>0.4</v>
      </c>
      <c r="O123" s="765"/>
      <c r="P123" s="837"/>
      <c r="Q123" s="822"/>
      <c r="R123" s="95"/>
      <c r="S123" s="765">
        <f>S122</f>
        <v>137438953.472</v>
      </c>
      <c r="T123" s="823" t="s">
        <v>1150</v>
      </c>
      <c r="U123" s="95">
        <v>0.1</v>
      </c>
      <c r="V123" s="765">
        <f t="shared" si="31"/>
        <v>13743895.347200001</v>
      </c>
      <c r="W123" s="824">
        <f>N123*U123</f>
        <v>4.0000000000000008E-2</v>
      </c>
      <c r="X123" s="765" t="s">
        <v>1144</v>
      </c>
      <c r="Y123" s="828" t="s">
        <v>1151</v>
      </c>
      <c r="Z123" s="1166">
        <v>23</v>
      </c>
      <c r="AA123" s="725"/>
      <c r="AG123" s="695">
        <f>V123</f>
        <v>13743895.347200001</v>
      </c>
      <c r="AI123" s="826"/>
      <c r="AJ123" s="727"/>
    </row>
    <row r="124" spans="1:78" ht="16.2" thickBot="1" x14ac:dyDescent="0.35">
      <c r="B124" s="722"/>
      <c r="C124" s="723"/>
      <c r="D124" s="723"/>
      <c r="I124" s="1044"/>
      <c r="J124" s="765"/>
      <c r="K124" s="1044"/>
      <c r="L124" s="724"/>
      <c r="M124" s="1052"/>
      <c r="N124" s="95"/>
      <c r="O124" s="765"/>
      <c r="P124" s="837"/>
      <c r="Q124" s="822"/>
      <c r="R124" s="95"/>
      <c r="S124" s="765"/>
      <c r="T124" s="823"/>
      <c r="U124" s="827">
        <f>SUM(U122:U123)</f>
        <v>1</v>
      </c>
      <c r="V124" s="765"/>
      <c r="W124" s="824"/>
      <c r="X124" s="765" t="s">
        <v>1144</v>
      </c>
      <c r="Y124" s="765"/>
      <c r="Z124" s="1166"/>
      <c r="AA124" s="725"/>
      <c r="AI124" s="826"/>
      <c r="AJ124" s="727"/>
    </row>
    <row r="125" spans="1:78" ht="7.95" customHeight="1" x14ac:dyDescent="0.3">
      <c r="B125" s="722"/>
      <c r="C125" s="723"/>
      <c r="D125" s="723"/>
      <c r="I125" s="1044"/>
      <c r="J125" s="765"/>
      <c r="K125" s="1044"/>
      <c r="L125" s="724"/>
      <c r="M125" s="1052"/>
      <c r="N125" s="95"/>
      <c r="O125" s="765"/>
      <c r="P125" s="837"/>
      <c r="Q125" s="822"/>
      <c r="R125" s="95"/>
      <c r="S125" s="765"/>
      <c r="T125" s="823"/>
      <c r="U125" s="95"/>
      <c r="V125" s="765"/>
      <c r="W125" s="824"/>
      <c r="X125" s="765"/>
      <c r="Y125" s="765"/>
      <c r="Z125" s="1166"/>
      <c r="AA125" s="725"/>
      <c r="AI125" s="826"/>
      <c r="AJ125" s="727"/>
    </row>
    <row r="126" spans="1:78" ht="17.399999999999999" thickBot="1" x14ac:dyDescent="0.45">
      <c r="B126" s="722"/>
      <c r="C126" s="723"/>
      <c r="D126" s="723"/>
      <c r="I126" s="1044"/>
      <c r="J126" s="765">
        <f>J122</f>
        <v>21474836.48</v>
      </c>
      <c r="K126" s="1044"/>
      <c r="L126" s="724" t="s">
        <v>1152</v>
      </c>
      <c r="M126" s="1052">
        <f t="shared" ref="M126" si="32">Z126</f>
        <v>29</v>
      </c>
      <c r="N126" s="1491">
        <v>2.5000000000000001E-3</v>
      </c>
      <c r="O126" s="765">
        <f>J126*N126</f>
        <v>53687.091200000003</v>
      </c>
      <c r="P126" s="837"/>
      <c r="Q126" s="822">
        <f>Q122</f>
        <v>16</v>
      </c>
      <c r="R126" s="95">
        <f>R122</f>
        <v>1</v>
      </c>
      <c r="S126" s="734">
        <f>O126*Q126*R126</f>
        <v>858993.45920000004</v>
      </c>
      <c r="T126" s="823" t="s">
        <v>35</v>
      </c>
      <c r="U126" s="827">
        <v>1</v>
      </c>
      <c r="V126" s="765">
        <f t="shared" ref="V126" si="33">S126*U126</f>
        <v>858993.45920000004</v>
      </c>
      <c r="W126" s="824">
        <f>N126*U126</f>
        <v>2.5000000000000001E-3</v>
      </c>
      <c r="X126" s="765" t="s">
        <v>1144</v>
      </c>
      <c r="Y126" s="765" t="s">
        <v>35</v>
      </c>
      <c r="Z126" s="1166">
        <v>29</v>
      </c>
      <c r="AA126" s="725"/>
      <c r="AF126" s="695">
        <f>V126</f>
        <v>858993.45920000004</v>
      </c>
      <c r="AI126" s="826"/>
      <c r="AJ126" s="727"/>
    </row>
    <row r="127" spans="1:78" ht="15.6" customHeight="1" x14ac:dyDescent="0.3">
      <c r="B127" s="722"/>
      <c r="C127" s="723"/>
      <c r="D127" s="723"/>
      <c r="I127" s="1044"/>
      <c r="J127" s="765"/>
      <c r="K127" s="1044"/>
      <c r="L127" s="724"/>
      <c r="M127" s="1052"/>
      <c r="N127" s="95"/>
      <c r="O127" s="765"/>
      <c r="P127" s="837"/>
      <c r="Q127" s="822"/>
      <c r="R127" s="95"/>
      <c r="S127" s="765"/>
      <c r="T127" s="823"/>
      <c r="U127" s="95"/>
      <c r="V127" s="765"/>
      <c r="W127" s="824"/>
      <c r="X127" s="765"/>
      <c r="Y127" s="765"/>
      <c r="Z127" s="1166"/>
      <c r="AA127" s="725"/>
      <c r="AI127" s="826"/>
      <c r="AJ127" s="727"/>
    </row>
    <row r="128" spans="1:78" ht="16.8" x14ac:dyDescent="0.4">
      <c r="B128" s="722"/>
      <c r="C128" s="723"/>
      <c r="D128" s="723"/>
      <c r="I128" s="1044"/>
      <c r="J128" s="765">
        <f>J126</f>
        <v>21474836.48</v>
      </c>
      <c r="K128" s="1044"/>
      <c r="L128" s="724" t="s">
        <v>1153</v>
      </c>
      <c r="M128" s="1052">
        <f t="shared" ref="M128" si="34">Z128</f>
        <v>3</v>
      </c>
      <c r="N128" s="1491">
        <v>2.5000000000000001E-3</v>
      </c>
      <c r="O128" s="765">
        <f>J128*N128</f>
        <v>53687.091200000003</v>
      </c>
      <c r="P128" s="837"/>
      <c r="Q128" s="822">
        <f>Q126</f>
        <v>16</v>
      </c>
      <c r="R128" s="95">
        <f>R126</f>
        <v>1</v>
      </c>
      <c r="S128" s="734">
        <f>O128*Q128*R128</f>
        <v>858993.45920000004</v>
      </c>
      <c r="T128" s="823" t="s">
        <v>1154</v>
      </c>
      <c r="U128" s="95">
        <v>0.9</v>
      </c>
      <c r="V128" s="765">
        <f t="shared" ref="V128:V129" si="35">S128*U128</f>
        <v>773094.11328000005</v>
      </c>
      <c r="W128" s="824">
        <f>N128*U128</f>
        <v>2.2500000000000003E-3</v>
      </c>
      <c r="X128" s="765" t="s">
        <v>1144</v>
      </c>
      <c r="Y128" s="765" t="s">
        <v>1047</v>
      </c>
      <c r="Z128" s="1166">
        <v>3</v>
      </c>
      <c r="AA128" s="725"/>
      <c r="AE128" s="695">
        <f>V128</f>
        <v>773094.11328000005</v>
      </c>
      <c r="AI128" s="826"/>
      <c r="AJ128" s="727"/>
    </row>
    <row r="129" spans="2:36" x14ac:dyDescent="0.3">
      <c r="B129" s="722"/>
      <c r="C129" s="723"/>
      <c r="D129" s="723"/>
      <c r="I129" s="1044"/>
      <c r="J129" s="765"/>
      <c r="K129" s="1044"/>
      <c r="L129" s="724"/>
      <c r="M129" s="1052"/>
      <c r="N129" s="1492">
        <f>N128</f>
        <v>2.5000000000000001E-3</v>
      </c>
      <c r="O129" s="765"/>
      <c r="P129" s="837"/>
      <c r="Q129" s="822"/>
      <c r="R129" s="95"/>
      <c r="S129" s="765">
        <f>S128</f>
        <v>858993.45920000004</v>
      </c>
      <c r="T129" s="823" t="s">
        <v>1155</v>
      </c>
      <c r="U129" s="95">
        <v>0.1</v>
      </c>
      <c r="V129" s="765">
        <f t="shared" si="35"/>
        <v>85899.345920000007</v>
      </c>
      <c r="W129" s="824">
        <f>N129*U129</f>
        <v>2.5000000000000001E-4</v>
      </c>
      <c r="X129" s="765" t="s">
        <v>1144</v>
      </c>
      <c r="Y129" s="828" t="s">
        <v>1151</v>
      </c>
      <c r="Z129" s="1166">
        <v>2</v>
      </c>
      <c r="AA129" s="725"/>
      <c r="AG129" s="695">
        <f>V129</f>
        <v>85899.345920000007</v>
      </c>
      <c r="AI129" s="826"/>
      <c r="AJ129" s="727"/>
    </row>
    <row r="130" spans="2:36" ht="16.2" thickBot="1" x14ac:dyDescent="0.35">
      <c r="B130" s="722"/>
      <c r="C130" s="723"/>
      <c r="D130" s="723"/>
      <c r="I130" s="1044"/>
      <c r="J130" s="765"/>
      <c r="K130" s="1044"/>
      <c r="L130" s="724"/>
      <c r="M130" s="1052"/>
      <c r="N130" s="95"/>
      <c r="O130" s="765"/>
      <c r="P130" s="837"/>
      <c r="Q130" s="822"/>
      <c r="R130" s="95"/>
      <c r="S130" s="765"/>
      <c r="T130" s="823"/>
      <c r="U130" s="827">
        <f>SUM(U128:U129)</f>
        <v>1</v>
      </c>
      <c r="V130" s="765"/>
      <c r="W130" s="824"/>
      <c r="X130" s="765"/>
      <c r="Y130" s="765"/>
      <c r="Z130" s="1166"/>
      <c r="AA130" s="829" t="s">
        <v>1156</v>
      </c>
      <c r="AB130" s="830"/>
      <c r="AC130" s="831" t="s">
        <v>1137</v>
      </c>
      <c r="AD130" s="831" t="s">
        <v>1138</v>
      </c>
      <c r="AE130" s="831" t="s">
        <v>1139</v>
      </c>
      <c r="AF130" s="831" t="s">
        <v>1140</v>
      </c>
      <c r="AG130" s="831" t="s">
        <v>1141</v>
      </c>
      <c r="AH130" s="831" t="s">
        <v>148</v>
      </c>
      <c r="AI130" s="826"/>
      <c r="AJ130" s="727"/>
    </row>
    <row r="131" spans="2:36" ht="7.95" customHeight="1" x14ac:dyDescent="0.3">
      <c r="B131" s="722"/>
      <c r="C131" s="723"/>
      <c r="D131" s="723"/>
      <c r="I131" s="1044"/>
      <c r="J131" s="765"/>
      <c r="K131" s="1044"/>
      <c r="L131" s="724"/>
      <c r="M131" s="1052"/>
      <c r="N131" s="95"/>
      <c r="O131" s="765"/>
      <c r="P131" s="837"/>
      <c r="Q131" s="822"/>
      <c r="R131" s="95"/>
      <c r="S131" s="765"/>
      <c r="T131" s="823"/>
      <c r="U131" s="95"/>
      <c r="V131" s="765"/>
      <c r="W131" s="824"/>
      <c r="X131" s="765"/>
      <c r="Y131" s="765"/>
      <c r="Z131" s="1166"/>
      <c r="AA131" s="725"/>
      <c r="AI131" s="826"/>
      <c r="AJ131" s="727"/>
    </row>
    <row r="132" spans="2:36" ht="16.8" x14ac:dyDescent="0.4">
      <c r="B132" s="722"/>
      <c r="C132" s="723"/>
      <c r="D132" s="723"/>
      <c r="I132" s="1044"/>
      <c r="J132" s="765">
        <f>J128</f>
        <v>21474836.48</v>
      </c>
      <c r="K132" s="1044"/>
      <c r="L132" s="724" t="s">
        <v>1157</v>
      </c>
      <c r="M132" s="1052">
        <f t="shared" ref="M132:M137" si="36">Z132</f>
        <v>1</v>
      </c>
      <c r="N132" s="1490">
        <v>0.01</v>
      </c>
      <c r="O132" s="765">
        <f>J132*N132</f>
        <v>214748.36480000001</v>
      </c>
      <c r="P132" s="837"/>
      <c r="Q132" s="822">
        <f>Q128</f>
        <v>16</v>
      </c>
      <c r="R132" s="95">
        <f>R128</f>
        <v>1</v>
      </c>
      <c r="S132" s="734">
        <f>O132*Q132*R132</f>
        <v>3435973.8368000002</v>
      </c>
      <c r="T132" s="823" t="s">
        <v>1158</v>
      </c>
      <c r="U132" s="95">
        <v>0</v>
      </c>
      <c r="V132" s="765">
        <f t="shared" ref="V132:V137" si="37">S132*U132</f>
        <v>0</v>
      </c>
      <c r="W132" s="824">
        <f t="shared" ref="W132:W137" si="38">N132*U132</f>
        <v>0</v>
      </c>
      <c r="X132" s="765" t="s">
        <v>1144</v>
      </c>
      <c r="Y132" s="734" t="s">
        <v>1045</v>
      </c>
      <c r="Z132" s="1166">
        <v>1</v>
      </c>
      <c r="AA132" s="725"/>
      <c r="AC132" s="695">
        <f t="shared" ref="AC132:AC137" si="39">V132</f>
        <v>0</v>
      </c>
      <c r="AD132" s="748"/>
      <c r="AI132" s="826"/>
      <c r="AJ132" s="727"/>
    </row>
    <row r="133" spans="2:36" x14ac:dyDescent="0.3">
      <c r="B133" s="722"/>
      <c r="C133" s="723"/>
      <c r="D133" s="723"/>
      <c r="I133" s="1044"/>
      <c r="J133" s="765"/>
      <c r="K133" s="1044"/>
      <c r="L133" s="724"/>
      <c r="M133" s="1052">
        <f t="shared" si="36"/>
        <v>1</v>
      </c>
      <c r="N133" s="95">
        <f>N132</f>
        <v>0.01</v>
      </c>
      <c r="O133" s="765"/>
      <c r="P133" s="837"/>
      <c r="Q133" s="822"/>
      <c r="R133" s="95"/>
      <c r="S133" s="765">
        <f>S132</f>
        <v>3435973.8368000002</v>
      </c>
      <c r="T133" s="823" t="s">
        <v>1159</v>
      </c>
      <c r="U133" s="95">
        <v>0.2</v>
      </c>
      <c r="V133" s="765">
        <f t="shared" si="37"/>
        <v>687194.76736000006</v>
      </c>
      <c r="W133" s="824">
        <f t="shared" si="38"/>
        <v>2E-3</v>
      </c>
      <c r="X133" s="765" t="s">
        <v>1144</v>
      </c>
      <c r="Y133" s="734" t="s">
        <v>1045</v>
      </c>
      <c r="Z133" s="1166">
        <v>1</v>
      </c>
      <c r="AA133" s="725"/>
      <c r="AC133" s="695">
        <f t="shared" si="39"/>
        <v>687194.76736000006</v>
      </c>
      <c r="AI133" s="826"/>
      <c r="AJ133" s="727"/>
    </row>
    <row r="134" spans="2:36" x14ac:dyDescent="0.3">
      <c r="B134" s="722"/>
      <c r="C134" s="723"/>
      <c r="D134" s="723"/>
      <c r="I134" s="1044"/>
      <c r="J134" s="765"/>
      <c r="K134" s="1044"/>
      <c r="L134" s="724"/>
      <c r="M134" s="1052">
        <f t="shared" si="36"/>
        <v>1</v>
      </c>
      <c r="N134" s="95">
        <f>N133</f>
        <v>0.01</v>
      </c>
      <c r="O134" s="765"/>
      <c r="P134" s="837"/>
      <c r="Q134" s="822"/>
      <c r="R134" s="95"/>
      <c r="S134" s="765">
        <f>S133</f>
        <v>3435973.8368000002</v>
      </c>
      <c r="T134" s="823" t="s">
        <v>1160</v>
      </c>
      <c r="U134" s="95">
        <v>0.5</v>
      </c>
      <c r="V134" s="765">
        <f t="shared" si="37"/>
        <v>1717986.9184000001</v>
      </c>
      <c r="W134" s="824">
        <f t="shared" si="38"/>
        <v>5.0000000000000001E-3</v>
      </c>
      <c r="X134" s="765" t="s">
        <v>1144</v>
      </c>
      <c r="Y134" s="734" t="s">
        <v>1045</v>
      </c>
      <c r="Z134" s="1166">
        <v>1</v>
      </c>
      <c r="AA134" s="725"/>
      <c r="AC134" s="695">
        <f t="shared" si="39"/>
        <v>1717986.9184000001</v>
      </c>
      <c r="AI134" s="826"/>
      <c r="AJ134" s="727"/>
    </row>
    <row r="135" spans="2:36" x14ac:dyDescent="0.3">
      <c r="B135" s="722"/>
      <c r="C135" s="723"/>
      <c r="D135" s="723"/>
      <c r="I135" s="1044"/>
      <c r="J135" s="765"/>
      <c r="K135" s="1044"/>
      <c r="L135" s="724"/>
      <c r="M135" s="1052">
        <f t="shared" si="36"/>
        <v>1</v>
      </c>
      <c r="N135" s="95">
        <f>N134</f>
        <v>0.01</v>
      </c>
      <c r="O135" s="765"/>
      <c r="P135" s="837"/>
      <c r="Q135" s="822"/>
      <c r="R135" s="95"/>
      <c r="S135" s="765">
        <f>S134</f>
        <v>3435973.8368000002</v>
      </c>
      <c r="T135" s="823" t="s">
        <v>1161</v>
      </c>
      <c r="U135" s="95">
        <v>0.05</v>
      </c>
      <c r="V135" s="765">
        <f t="shared" si="37"/>
        <v>171798.69184000001</v>
      </c>
      <c r="W135" s="824">
        <f t="shared" si="38"/>
        <v>5.0000000000000001E-4</v>
      </c>
      <c r="X135" s="765" t="s">
        <v>1144</v>
      </c>
      <c r="Y135" s="734" t="s">
        <v>1045</v>
      </c>
      <c r="Z135" s="1166">
        <v>1</v>
      </c>
      <c r="AA135" s="725"/>
      <c r="AC135" s="695">
        <f t="shared" si="39"/>
        <v>171798.69184000001</v>
      </c>
      <c r="AI135" s="826"/>
      <c r="AJ135" s="727"/>
    </row>
    <row r="136" spans="2:36" x14ac:dyDescent="0.3">
      <c r="B136" s="722"/>
      <c r="C136" s="723"/>
      <c r="D136" s="723"/>
      <c r="I136" s="1044"/>
      <c r="J136" s="765"/>
      <c r="K136" s="1044"/>
      <c r="L136" s="724"/>
      <c r="M136" s="1052">
        <f t="shared" si="36"/>
        <v>1</v>
      </c>
      <c r="N136" s="95">
        <f>N135</f>
        <v>0.01</v>
      </c>
      <c r="O136" s="765"/>
      <c r="P136" s="837"/>
      <c r="Q136" s="822"/>
      <c r="R136" s="95"/>
      <c r="S136" s="765">
        <f>S135</f>
        <v>3435973.8368000002</v>
      </c>
      <c r="T136" s="823" t="s">
        <v>35</v>
      </c>
      <c r="U136" s="95">
        <v>0.15</v>
      </c>
      <c r="V136" s="765">
        <f t="shared" si="37"/>
        <v>515396.07552000001</v>
      </c>
      <c r="W136" s="824">
        <f t="shared" si="38"/>
        <v>1.5E-3</v>
      </c>
      <c r="X136" s="765" t="s">
        <v>1144</v>
      </c>
      <c r="Y136" s="734" t="s">
        <v>1045</v>
      </c>
      <c r="Z136" s="1166">
        <v>1</v>
      </c>
      <c r="AA136" s="725"/>
      <c r="AC136" s="695">
        <f t="shared" si="39"/>
        <v>515396.07552000001</v>
      </c>
      <c r="AI136" s="826"/>
      <c r="AJ136" s="727"/>
    </row>
    <row r="137" spans="2:36" x14ac:dyDescent="0.3">
      <c r="B137" s="722"/>
      <c r="C137" s="723"/>
      <c r="D137" s="723"/>
      <c r="I137" s="1044"/>
      <c r="J137" s="765"/>
      <c r="K137" s="1044"/>
      <c r="L137" s="724"/>
      <c r="M137" s="1052">
        <f t="shared" si="36"/>
        <v>1</v>
      </c>
      <c r="N137" s="95">
        <f>N135</f>
        <v>0.01</v>
      </c>
      <c r="O137" s="765"/>
      <c r="P137" s="837"/>
      <c r="Q137" s="822"/>
      <c r="R137" s="95"/>
      <c r="S137" s="765">
        <f>S136</f>
        <v>3435973.8368000002</v>
      </c>
      <c r="T137" s="823" t="s">
        <v>1162</v>
      </c>
      <c r="U137" s="95">
        <v>0.1</v>
      </c>
      <c r="V137" s="765">
        <f t="shared" si="37"/>
        <v>343597.38368000003</v>
      </c>
      <c r="W137" s="824">
        <f t="shared" si="38"/>
        <v>1E-3</v>
      </c>
      <c r="X137" s="765" t="s">
        <v>1144</v>
      </c>
      <c r="Y137" s="734" t="s">
        <v>1045</v>
      </c>
      <c r="Z137" s="1166">
        <v>1</v>
      </c>
      <c r="AA137" s="725"/>
      <c r="AC137" s="695">
        <f t="shared" si="39"/>
        <v>343597.38368000003</v>
      </c>
      <c r="AI137" s="826"/>
      <c r="AJ137" s="727"/>
    </row>
    <row r="138" spans="2:36" ht="16.2" thickBot="1" x14ac:dyDescent="0.35">
      <c r="B138" s="722"/>
      <c r="C138" s="723"/>
      <c r="D138" s="723"/>
      <c r="I138" s="1044"/>
      <c r="J138" s="765"/>
      <c r="K138" s="1044"/>
      <c r="L138" s="724"/>
      <c r="M138" s="1052"/>
      <c r="N138" s="95"/>
      <c r="O138" s="765"/>
      <c r="P138" s="837"/>
      <c r="Q138" s="822"/>
      <c r="R138" s="95"/>
      <c r="S138" s="765"/>
      <c r="T138" s="823"/>
      <c r="U138" s="827">
        <f>SUM(U132:U137)</f>
        <v>1</v>
      </c>
      <c r="V138" s="765"/>
      <c r="W138" s="824"/>
      <c r="X138" s="765"/>
      <c r="Y138" s="765"/>
      <c r="Z138" s="1166"/>
      <c r="AA138" s="829" t="s">
        <v>1156</v>
      </c>
      <c r="AB138" s="830"/>
      <c r="AC138" s="831" t="s">
        <v>1137</v>
      </c>
      <c r="AD138" s="831" t="s">
        <v>1138</v>
      </c>
      <c r="AE138" s="831" t="s">
        <v>1139</v>
      </c>
      <c r="AF138" s="831" t="s">
        <v>1140</v>
      </c>
      <c r="AG138" s="831" t="s">
        <v>1141</v>
      </c>
      <c r="AH138" s="831" t="s">
        <v>148</v>
      </c>
      <c r="AI138" s="826"/>
      <c r="AJ138" s="727"/>
    </row>
    <row r="139" spans="2:36" ht="7.95" customHeight="1" x14ac:dyDescent="0.3">
      <c r="B139" s="722"/>
      <c r="C139" s="723"/>
      <c r="D139" s="723"/>
      <c r="I139" s="1044"/>
      <c r="J139" s="765"/>
      <c r="K139" s="1044"/>
      <c r="L139" s="724"/>
      <c r="M139" s="1052"/>
      <c r="N139" s="95"/>
      <c r="O139" s="765"/>
      <c r="P139" s="837"/>
      <c r="Q139" s="822"/>
      <c r="R139" s="95"/>
      <c r="S139" s="765"/>
      <c r="T139" s="823"/>
      <c r="U139" s="95"/>
      <c r="V139" s="765"/>
      <c r="W139" s="824"/>
      <c r="X139" s="765"/>
      <c r="Y139" s="765"/>
      <c r="Z139" s="1166"/>
      <c r="AA139" s="725"/>
      <c r="AI139" s="826"/>
      <c r="AJ139" s="727"/>
    </row>
    <row r="140" spans="2:36" ht="17.399999999999999" thickBot="1" x14ac:dyDescent="0.45">
      <c r="B140" s="722"/>
      <c r="C140" s="723"/>
      <c r="D140" s="723"/>
      <c r="I140" s="1044"/>
      <c r="J140" s="765">
        <f>J132</f>
        <v>21474836.48</v>
      </c>
      <c r="K140" s="1044"/>
      <c r="L140" s="724" t="s">
        <v>1163</v>
      </c>
      <c r="M140" s="1052">
        <f t="shared" ref="M140" si="40">Z140</f>
        <v>20</v>
      </c>
      <c r="N140" s="1490">
        <v>2.5000000000000001E-2</v>
      </c>
      <c r="O140" s="765">
        <f>J140*N140</f>
        <v>536870.91200000001</v>
      </c>
      <c r="P140" s="837"/>
      <c r="Q140" s="822">
        <f>Q132</f>
        <v>16</v>
      </c>
      <c r="R140" s="95">
        <f>R132</f>
        <v>1</v>
      </c>
      <c r="S140" s="734">
        <f>O140*Q140*R140</f>
        <v>8589934.5920000002</v>
      </c>
      <c r="T140" s="823" t="s">
        <v>1164</v>
      </c>
      <c r="U140" s="827">
        <v>1</v>
      </c>
      <c r="V140" s="765">
        <f t="shared" ref="V140" si="41">S140*U140</f>
        <v>8589934.5920000002</v>
      </c>
      <c r="W140" s="824">
        <f>N140*U140</f>
        <v>2.5000000000000001E-2</v>
      </c>
      <c r="X140" s="765" t="s">
        <v>1144</v>
      </c>
      <c r="Y140" s="765" t="s">
        <v>1070</v>
      </c>
      <c r="Z140" s="1166">
        <v>20</v>
      </c>
      <c r="AA140" s="725"/>
      <c r="AE140" s="695">
        <f>V140</f>
        <v>8589934.5920000002</v>
      </c>
      <c r="AI140" s="826"/>
      <c r="AJ140" s="727"/>
    </row>
    <row r="141" spans="2:36" x14ac:dyDescent="0.3">
      <c r="B141" s="722"/>
      <c r="C141" s="723"/>
      <c r="D141" s="723"/>
      <c r="I141" s="1044"/>
      <c r="J141" s="765"/>
      <c r="K141" s="1044"/>
      <c r="L141" s="724"/>
      <c r="M141" s="1052"/>
      <c r="N141" s="1173"/>
      <c r="O141" s="765"/>
      <c r="P141" s="837"/>
      <c r="Q141" s="822"/>
      <c r="R141" s="95"/>
      <c r="S141" s="765"/>
      <c r="T141" s="823"/>
      <c r="U141" s="95"/>
      <c r="V141" s="765"/>
      <c r="W141" s="824"/>
      <c r="X141" s="765"/>
      <c r="Y141" s="765"/>
      <c r="Z141" s="1166"/>
      <c r="AA141" s="725"/>
      <c r="AI141" s="826"/>
      <c r="AJ141" s="727"/>
    </row>
    <row r="142" spans="2:36" ht="17.399999999999999" thickBot="1" x14ac:dyDescent="0.45">
      <c r="B142" s="722"/>
      <c r="C142" s="723"/>
      <c r="D142" s="723"/>
      <c r="I142" s="1044"/>
      <c r="J142" s="765">
        <f>J140</f>
        <v>21474836.48</v>
      </c>
      <c r="K142" s="1044"/>
      <c r="L142" s="724" t="s">
        <v>1165</v>
      </c>
      <c r="M142" s="1052">
        <f t="shared" ref="M142" si="42">Z142</f>
        <v>8</v>
      </c>
      <c r="N142" s="1490">
        <v>0.02</v>
      </c>
      <c r="O142" s="765">
        <f>J142*N142</f>
        <v>429496.72960000002</v>
      </c>
      <c r="P142" s="837"/>
      <c r="Q142" s="822">
        <f>Q140</f>
        <v>16</v>
      </c>
      <c r="R142" s="95">
        <f>R140</f>
        <v>1</v>
      </c>
      <c r="S142" s="734">
        <f>O142*Q142*R142</f>
        <v>6871947.6736000003</v>
      </c>
      <c r="T142" s="823" t="s">
        <v>147</v>
      </c>
      <c r="U142" s="827">
        <v>1</v>
      </c>
      <c r="V142" s="765">
        <f t="shared" ref="V142" si="43">S142*U142</f>
        <v>6871947.6736000003</v>
      </c>
      <c r="W142" s="824">
        <f>N142*U142</f>
        <v>0.02</v>
      </c>
      <c r="X142" s="765" t="s">
        <v>1144</v>
      </c>
      <c r="Y142" s="690" t="s">
        <v>1052</v>
      </c>
      <c r="Z142" s="1166">
        <v>8</v>
      </c>
      <c r="AA142" s="725"/>
      <c r="AE142" s="695">
        <f>V142</f>
        <v>6871947.6736000003</v>
      </c>
      <c r="AI142" s="826"/>
      <c r="AJ142" s="727"/>
    </row>
    <row r="143" spans="2:36" x14ac:dyDescent="0.3">
      <c r="B143" s="722"/>
      <c r="C143" s="723"/>
      <c r="D143" s="723"/>
      <c r="I143" s="1044"/>
      <c r="J143" s="765"/>
      <c r="K143" s="1044"/>
      <c r="L143" s="724"/>
      <c r="M143" s="1052"/>
      <c r="N143" s="1173"/>
      <c r="O143" s="765"/>
      <c r="P143" s="837"/>
      <c r="Q143" s="822"/>
      <c r="R143" s="95"/>
      <c r="S143" s="765"/>
      <c r="T143" s="823"/>
      <c r="U143" s="95"/>
      <c r="V143" s="765"/>
      <c r="W143" s="824"/>
      <c r="X143" s="765"/>
      <c r="Y143" s="765"/>
      <c r="Z143" s="1166"/>
      <c r="AA143" s="725"/>
      <c r="AI143" s="826"/>
      <c r="AJ143" s="727"/>
    </row>
    <row r="144" spans="2:36" ht="17.399999999999999" thickBot="1" x14ac:dyDescent="0.45">
      <c r="B144" s="722"/>
      <c r="C144" s="723"/>
      <c r="D144" s="723"/>
      <c r="I144" s="1044"/>
      <c r="J144" s="765">
        <f>J142</f>
        <v>21474836.48</v>
      </c>
      <c r="K144" s="1044"/>
      <c r="L144" s="724" t="s">
        <v>1166</v>
      </c>
      <c r="M144" s="1052">
        <f t="shared" ref="M144" si="44">Z144</f>
        <v>9</v>
      </c>
      <c r="N144" s="1490">
        <v>0.02</v>
      </c>
      <c r="O144" s="765">
        <f>J144*N144</f>
        <v>429496.72960000002</v>
      </c>
      <c r="P144" s="837"/>
      <c r="Q144" s="822">
        <f>Q142</f>
        <v>16</v>
      </c>
      <c r="R144" s="95">
        <f>R142</f>
        <v>1</v>
      </c>
      <c r="S144" s="734">
        <f>O144*Q144*R144</f>
        <v>6871947.6736000003</v>
      </c>
      <c r="T144" s="823" t="s">
        <v>1167</v>
      </c>
      <c r="U144" s="827">
        <v>1</v>
      </c>
      <c r="V144" s="765">
        <f t="shared" ref="V144" si="45">S144*U144</f>
        <v>6871947.6736000003</v>
      </c>
      <c r="W144" s="824">
        <f>N144*U144</f>
        <v>0.02</v>
      </c>
      <c r="X144" s="765" t="s">
        <v>1144</v>
      </c>
      <c r="Y144" s="734" t="s">
        <v>1053</v>
      </c>
      <c r="Z144" s="1166">
        <v>9</v>
      </c>
      <c r="AA144" s="725"/>
      <c r="AI144" s="826"/>
      <c r="AJ144" s="727"/>
    </row>
    <row r="145" spans="2:36" x14ac:dyDescent="0.3">
      <c r="B145" s="722"/>
      <c r="C145" s="723"/>
      <c r="D145" s="723"/>
      <c r="I145" s="1044"/>
      <c r="J145" s="765"/>
      <c r="K145" s="1044"/>
      <c r="L145" s="724"/>
      <c r="M145" s="1052"/>
      <c r="N145" s="1173"/>
      <c r="O145" s="765"/>
      <c r="P145" s="837"/>
      <c r="Q145" s="822"/>
      <c r="R145" s="95"/>
      <c r="S145" s="765"/>
      <c r="T145" s="823"/>
      <c r="U145" s="95"/>
      <c r="V145" s="765"/>
      <c r="W145" s="824"/>
      <c r="X145" s="765"/>
      <c r="Y145" s="765"/>
      <c r="Z145" s="1166"/>
      <c r="AA145" s="725"/>
      <c r="AI145" s="826"/>
      <c r="AJ145" s="727"/>
    </row>
    <row r="146" spans="2:36" ht="17.399999999999999" thickBot="1" x14ac:dyDescent="0.45">
      <c r="B146" s="722"/>
      <c r="C146" s="723"/>
      <c r="D146" s="723"/>
      <c r="I146" s="1044"/>
      <c r="J146" s="765">
        <f>J144</f>
        <v>21474836.48</v>
      </c>
      <c r="K146" s="1044"/>
      <c r="L146" s="724" t="s">
        <v>1168</v>
      </c>
      <c r="M146" s="1052">
        <f t="shared" ref="M146:M164" si="46">Z146</f>
        <v>12</v>
      </c>
      <c r="N146" s="1491">
        <v>2.5000000000000001E-3</v>
      </c>
      <c r="O146" s="765">
        <f>J146*N146</f>
        <v>53687.091200000003</v>
      </c>
      <c r="P146" s="837"/>
      <c r="Q146" s="822">
        <f>Q144</f>
        <v>16</v>
      </c>
      <c r="R146" s="95">
        <f>R144</f>
        <v>1</v>
      </c>
      <c r="S146" s="734">
        <f>O146*Q146*R146</f>
        <v>858993.45920000004</v>
      </c>
      <c r="T146" s="823" t="s">
        <v>1169</v>
      </c>
      <c r="U146" s="827">
        <v>1</v>
      </c>
      <c r="V146" s="765">
        <f t="shared" ref="V146" si="47">S146*U146</f>
        <v>858993.45920000004</v>
      </c>
      <c r="W146" s="824">
        <f>N146*U146</f>
        <v>2.5000000000000001E-3</v>
      </c>
      <c r="X146" s="765" t="s">
        <v>1144</v>
      </c>
      <c r="Y146" s="765" t="s">
        <v>1056</v>
      </c>
      <c r="Z146" s="1166">
        <v>12</v>
      </c>
      <c r="AA146" s="725"/>
      <c r="AD146" s="695">
        <f>V146</f>
        <v>858993.45920000004</v>
      </c>
      <c r="AI146" s="826"/>
      <c r="AJ146" s="727"/>
    </row>
    <row r="147" spans="2:36" x14ac:dyDescent="0.3">
      <c r="B147" s="722"/>
      <c r="C147" s="723"/>
      <c r="D147" s="723"/>
      <c r="I147" s="1044"/>
      <c r="J147" s="765"/>
      <c r="K147" s="1044"/>
      <c r="L147" s="724"/>
      <c r="M147" s="1052"/>
      <c r="N147" s="1173"/>
      <c r="O147" s="765"/>
      <c r="P147" s="837"/>
      <c r="Q147" s="822"/>
      <c r="R147" s="95"/>
      <c r="S147" s="765"/>
      <c r="T147" s="823"/>
      <c r="U147" s="95"/>
      <c r="V147" s="765"/>
      <c r="W147" s="824"/>
      <c r="X147" s="765"/>
      <c r="Y147" s="765"/>
      <c r="Z147" s="1166"/>
      <c r="AA147" s="725"/>
      <c r="AI147" s="826"/>
      <c r="AJ147" s="727"/>
    </row>
    <row r="148" spans="2:36" ht="17.399999999999999" thickBot="1" x14ac:dyDescent="0.45">
      <c r="B148" s="722"/>
      <c r="C148" s="723"/>
      <c r="D148" s="723"/>
      <c r="I148" s="1044"/>
      <c r="J148" s="765">
        <f>J146</f>
        <v>21474836.48</v>
      </c>
      <c r="K148" s="1044"/>
      <c r="L148" s="724" t="s">
        <v>1170</v>
      </c>
      <c r="M148" s="1052">
        <f t="shared" si="46"/>
        <v>18</v>
      </c>
      <c r="N148" s="1490">
        <v>0.01</v>
      </c>
      <c r="O148" s="765">
        <f>J148*N148</f>
        <v>214748.36480000001</v>
      </c>
      <c r="P148" s="837"/>
      <c r="Q148" s="822">
        <f>Q146</f>
        <v>16</v>
      </c>
      <c r="R148" s="95">
        <f>R146</f>
        <v>1</v>
      </c>
      <c r="S148" s="734">
        <f>O148*Q148*R148</f>
        <v>3435973.8368000002</v>
      </c>
      <c r="T148" s="823" t="s">
        <v>1171</v>
      </c>
      <c r="U148" s="827">
        <v>1</v>
      </c>
      <c r="V148" s="765">
        <f t="shared" ref="V148" si="48">S148*U148</f>
        <v>3435973.8368000002</v>
      </c>
      <c r="W148" s="824">
        <f>N148*U148</f>
        <v>0.01</v>
      </c>
      <c r="X148" s="765" t="s">
        <v>1144</v>
      </c>
      <c r="Y148" s="690" t="s">
        <v>1068</v>
      </c>
      <c r="Z148" s="1166">
        <v>18</v>
      </c>
      <c r="AA148" s="725"/>
      <c r="AD148" s="695">
        <f>V148</f>
        <v>3435973.8368000002</v>
      </c>
      <c r="AI148" s="826"/>
      <c r="AJ148" s="727"/>
    </row>
    <row r="149" spans="2:36" x14ac:dyDescent="0.3">
      <c r="B149" s="722"/>
      <c r="C149" s="723"/>
      <c r="D149" s="723"/>
      <c r="I149" s="1044"/>
      <c r="J149" s="765"/>
      <c r="K149" s="1044"/>
      <c r="L149" s="724"/>
      <c r="M149" s="1052"/>
      <c r="N149" s="1173"/>
      <c r="O149" s="765"/>
      <c r="P149" s="837"/>
      <c r="Q149" s="822"/>
      <c r="R149" s="95"/>
      <c r="S149" s="765"/>
      <c r="T149" s="823"/>
      <c r="U149" s="95"/>
      <c r="V149" s="765"/>
      <c r="W149" s="824"/>
      <c r="X149" s="765"/>
      <c r="Y149" s="765"/>
      <c r="Z149" s="1166"/>
      <c r="AA149" s="725"/>
      <c r="AI149" s="826"/>
      <c r="AJ149" s="727"/>
    </row>
    <row r="150" spans="2:36" ht="17.399999999999999" thickBot="1" x14ac:dyDescent="0.45">
      <c r="B150" s="722"/>
      <c r="C150" s="723"/>
      <c r="D150" s="723"/>
      <c r="I150" s="1044"/>
      <c r="J150" s="765">
        <f>J148</f>
        <v>21474836.48</v>
      </c>
      <c r="K150" s="1044"/>
      <c r="L150" s="724" t="s">
        <v>1172</v>
      </c>
      <c r="M150" s="1052">
        <f t="shared" si="46"/>
        <v>4</v>
      </c>
      <c r="N150" s="1491">
        <v>2.5000000000000001E-3</v>
      </c>
      <c r="O150" s="765">
        <f>J150*N150</f>
        <v>53687.091200000003</v>
      </c>
      <c r="P150" s="837"/>
      <c r="Q150" s="822">
        <f>Q148</f>
        <v>16</v>
      </c>
      <c r="R150" s="95">
        <f>R148</f>
        <v>1</v>
      </c>
      <c r="S150" s="734">
        <f>O150*Q150*R150</f>
        <v>858993.45920000004</v>
      </c>
      <c r="T150" s="823" t="s">
        <v>1173</v>
      </c>
      <c r="U150" s="827">
        <v>1</v>
      </c>
      <c r="V150" s="765">
        <f t="shared" ref="V150" si="49">S150*U150</f>
        <v>858993.45920000004</v>
      </c>
      <c r="W150" s="824">
        <f>N150*U150</f>
        <v>2.5000000000000001E-3</v>
      </c>
      <c r="X150" s="765" t="s">
        <v>1144</v>
      </c>
      <c r="Y150" s="734" t="s">
        <v>1048</v>
      </c>
      <c r="Z150" s="1166">
        <v>4</v>
      </c>
      <c r="AA150" s="725"/>
      <c r="AD150" s="695">
        <f>V150</f>
        <v>858993.45920000004</v>
      </c>
      <c r="AI150" s="826"/>
      <c r="AJ150" s="727"/>
    </row>
    <row r="151" spans="2:36" x14ac:dyDescent="0.3">
      <c r="B151" s="722"/>
      <c r="C151" s="723"/>
      <c r="D151" s="723"/>
      <c r="I151" s="1044"/>
      <c r="J151" s="765"/>
      <c r="K151" s="1044"/>
      <c r="L151" s="724"/>
      <c r="M151" s="1052"/>
      <c r="N151" s="1173"/>
      <c r="O151" s="765"/>
      <c r="P151" s="837"/>
      <c r="Q151" s="822"/>
      <c r="R151" s="95"/>
      <c r="S151" s="765"/>
      <c r="T151" s="823"/>
      <c r="U151" s="95"/>
      <c r="V151" s="765"/>
      <c r="W151" s="824"/>
      <c r="X151" s="765"/>
      <c r="Y151" s="765"/>
      <c r="Z151" s="1166"/>
      <c r="AA151" s="725"/>
      <c r="AI151" s="826"/>
      <c r="AJ151" s="727"/>
    </row>
    <row r="152" spans="2:36" ht="17.399999999999999" thickBot="1" x14ac:dyDescent="0.45">
      <c r="B152" s="722"/>
      <c r="C152" s="723"/>
      <c r="D152" s="723"/>
      <c r="I152" s="1044"/>
      <c r="J152" s="765">
        <f>J150</f>
        <v>21474836.48</v>
      </c>
      <c r="K152" s="1044"/>
      <c r="L152" s="724" t="s">
        <v>1671</v>
      </c>
      <c r="M152" s="1052">
        <f t="shared" si="46"/>
        <v>6</v>
      </c>
      <c r="N152" s="1490">
        <v>0.01</v>
      </c>
      <c r="O152" s="765">
        <f>J152*N152</f>
        <v>214748.36480000001</v>
      </c>
      <c r="P152" s="837"/>
      <c r="Q152" s="822">
        <f>Q150</f>
        <v>16</v>
      </c>
      <c r="R152" s="95">
        <f>R150</f>
        <v>1</v>
      </c>
      <c r="S152" s="734">
        <f>O152*Q152*R152</f>
        <v>3435973.8368000002</v>
      </c>
      <c r="T152" s="823" t="s">
        <v>1175</v>
      </c>
      <c r="U152" s="827">
        <v>1</v>
      </c>
      <c r="V152" s="765">
        <f t="shared" ref="V152" si="50">S152*U152</f>
        <v>3435973.8368000002</v>
      </c>
      <c r="W152" s="824">
        <f>N152*U152</f>
        <v>0.01</v>
      </c>
      <c r="X152" s="765" t="s">
        <v>1144</v>
      </c>
      <c r="Y152" s="765" t="s">
        <v>1050</v>
      </c>
      <c r="Z152" s="1166">
        <v>6</v>
      </c>
      <c r="AA152" s="725"/>
      <c r="AC152" s="695">
        <f>V152</f>
        <v>3435973.8368000002</v>
      </c>
      <c r="AI152" s="826"/>
      <c r="AJ152" s="727"/>
    </row>
    <row r="153" spans="2:36" x14ac:dyDescent="0.3">
      <c r="B153" s="722"/>
      <c r="C153" s="723"/>
      <c r="D153" s="723"/>
      <c r="I153" s="1044"/>
      <c r="J153" s="765"/>
      <c r="K153" s="1044"/>
      <c r="L153" s="724"/>
      <c r="M153" s="1052"/>
      <c r="N153" s="1173"/>
      <c r="O153" s="765"/>
      <c r="P153" s="837"/>
      <c r="Q153" s="822"/>
      <c r="R153" s="95"/>
      <c r="S153" s="765"/>
      <c r="T153" s="823"/>
      <c r="U153" s="95"/>
      <c r="V153" s="765"/>
      <c r="W153" s="824"/>
      <c r="X153" s="765"/>
      <c r="Y153" s="765"/>
      <c r="Z153" s="1166"/>
      <c r="AA153" s="725"/>
      <c r="AI153" s="826"/>
      <c r="AJ153" s="727"/>
    </row>
    <row r="154" spans="2:36" ht="17.399999999999999" thickBot="1" x14ac:dyDescent="0.45">
      <c r="B154" s="722"/>
      <c r="C154" s="723"/>
      <c r="D154" s="723"/>
      <c r="I154" s="1044"/>
      <c r="J154" s="765">
        <f>J152</f>
        <v>21474836.48</v>
      </c>
      <c r="K154" s="1044"/>
      <c r="L154" s="724" t="s">
        <v>1176</v>
      </c>
      <c r="M154" s="1052">
        <f t="shared" si="46"/>
        <v>13</v>
      </c>
      <c r="N154" s="1490">
        <v>0.01</v>
      </c>
      <c r="O154" s="765">
        <f>J154*N154</f>
        <v>214748.36480000001</v>
      </c>
      <c r="P154" s="837"/>
      <c r="Q154" s="822">
        <f>Q152</f>
        <v>16</v>
      </c>
      <c r="R154" s="95">
        <f>R152</f>
        <v>1</v>
      </c>
      <c r="S154" s="734">
        <f>O154*Q154*R154</f>
        <v>3435973.8368000002</v>
      </c>
      <c r="T154" s="823" t="s">
        <v>1177</v>
      </c>
      <c r="U154" s="827">
        <v>1</v>
      </c>
      <c r="V154" s="765">
        <f t="shared" ref="V154" si="51">S154*U154</f>
        <v>3435973.8368000002</v>
      </c>
      <c r="W154" s="824">
        <f>N154*U154</f>
        <v>0.01</v>
      </c>
      <c r="X154" s="765" t="s">
        <v>1144</v>
      </c>
      <c r="Y154" s="825" t="s">
        <v>1057</v>
      </c>
      <c r="Z154" s="1166">
        <v>13</v>
      </c>
      <c r="AA154" s="725"/>
      <c r="AE154" s="695">
        <f>V154</f>
        <v>3435973.8368000002</v>
      </c>
      <c r="AI154" s="826"/>
      <c r="AJ154" s="727"/>
    </row>
    <row r="155" spans="2:36" x14ac:dyDescent="0.3">
      <c r="B155" s="722"/>
      <c r="C155" s="723"/>
      <c r="D155" s="723"/>
      <c r="I155" s="1044"/>
      <c r="J155" s="765"/>
      <c r="K155" s="1044"/>
      <c r="L155" s="724"/>
      <c r="M155" s="1052"/>
      <c r="N155" s="1173"/>
      <c r="O155" s="765"/>
      <c r="P155" s="837"/>
      <c r="Q155" s="822"/>
      <c r="R155" s="95"/>
      <c r="S155" s="765"/>
      <c r="T155" s="823"/>
      <c r="U155" s="95"/>
      <c r="V155" s="765"/>
      <c r="W155" s="824"/>
      <c r="X155" s="765"/>
      <c r="Y155" s="765"/>
      <c r="Z155" s="1166"/>
      <c r="AA155" s="725"/>
      <c r="AI155" s="826"/>
      <c r="AJ155" s="727"/>
    </row>
    <row r="156" spans="2:36" ht="17.399999999999999" thickBot="1" x14ac:dyDescent="0.45">
      <c r="B156" s="722"/>
      <c r="C156" s="723"/>
      <c r="D156" s="723"/>
      <c r="I156" s="1044"/>
      <c r="J156" s="765">
        <f>J154</f>
        <v>21474836.48</v>
      </c>
      <c r="K156" s="1044"/>
      <c r="L156" s="692" t="s">
        <v>1178</v>
      </c>
      <c r="M156" s="1052">
        <f t="shared" ref="M156" si="52">Z156</f>
        <v>14</v>
      </c>
      <c r="N156" s="1490">
        <v>5.0000000000000001E-3</v>
      </c>
      <c r="O156" s="765">
        <f>J156*N156</f>
        <v>107374.18240000001</v>
      </c>
      <c r="P156" s="837"/>
      <c r="Q156" s="822">
        <f>Q154</f>
        <v>16</v>
      </c>
      <c r="R156" s="95">
        <f>R152</f>
        <v>1</v>
      </c>
      <c r="S156" s="734">
        <f>O156*Q156*R156</f>
        <v>1717986.9184000001</v>
      </c>
      <c r="T156" s="690" t="s">
        <v>1058</v>
      </c>
      <c r="U156" s="827">
        <v>1</v>
      </c>
      <c r="V156" s="765">
        <f t="shared" ref="V156" si="53">S156*U156</f>
        <v>1717986.9184000001</v>
      </c>
      <c r="W156" s="824">
        <f>N156*U156</f>
        <v>5.0000000000000001E-3</v>
      </c>
      <c r="X156" s="765" t="s">
        <v>1144</v>
      </c>
      <c r="Y156" s="690" t="s">
        <v>1058</v>
      </c>
      <c r="Z156" s="1166">
        <v>14</v>
      </c>
      <c r="AA156" s="725"/>
      <c r="AD156" s="695">
        <f>V156</f>
        <v>1717986.9184000001</v>
      </c>
      <c r="AI156" s="826"/>
      <c r="AJ156" s="727"/>
    </row>
    <row r="157" spans="2:36" x14ac:dyDescent="0.3">
      <c r="B157" s="722"/>
      <c r="C157" s="723"/>
      <c r="D157" s="723"/>
      <c r="I157" s="1044"/>
      <c r="J157" s="765"/>
      <c r="K157" s="1044"/>
      <c r="L157" s="724"/>
      <c r="M157" s="1052"/>
      <c r="N157" s="1173"/>
      <c r="O157" s="765"/>
      <c r="P157" s="837"/>
      <c r="Q157" s="822"/>
      <c r="R157" s="95"/>
      <c r="S157" s="765"/>
      <c r="T157" s="823"/>
      <c r="U157" s="95"/>
      <c r="V157" s="765"/>
      <c r="W157" s="824"/>
      <c r="X157" s="765"/>
      <c r="Y157" s="765"/>
      <c r="Z157" s="1166"/>
      <c r="AA157" s="725"/>
      <c r="AI157" s="826"/>
      <c r="AJ157" s="727"/>
    </row>
    <row r="158" spans="2:36" ht="17.399999999999999" thickBot="1" x14ac:dyDescent="0.45">
      <c r="B158" s="722"/>
      <c r="C158" s="723"/>
      <c r="D158" s="723"/>
      <c r="I158" s="1044"/>
      <c r="J158" s="765">
        <f>J156</f>
        <v>21474836.48</v>
      </c>
      <c r="K158" s="1044"/>
      <c r="L158" s="692" t="s">
        <v>1179</v>
      </c>
      <c r="M158" s="1052">
        <f t="shared" ref="M158" si="54">Z158</f>
        <v>15</v>
      </c>
      <c r="N158" s="1490">
        <v>5.0000000000000001E-3</v>
      </c>
      <c r="O158" s="765">
        <f>J158*N158</f>
        <v>107374.18240000001</v>
      </c>
      <c r="P158" s="837"/>
      <c r="Q158" s="822">
        <f>Q156</f>
        <v>16</v>
      </c>
      <c r="R158" s="95">
        <f>R154</f>
        <v>1</v>
      </c>
      <c r="S158" s="734">
        <f>O158*Q158*R158</f>
        <v>1717986.9184000001</v>
      </c>
      <c r="T158" s="690" t="s">
        <v>1059</v>
      </c>
      <c r="U158" s="827">
        <v>1</v>
      </c>
      <c r="V158" s="765">
        <f t="shared" ref="V158" si="55">S158*U158</f>
        <v>1717986.9184000001</v>
      </c>
      <c r="W158" s="824">
        <f>N158*U158</f>
        <v>5.0000000000000001E-3</v>
      </c>
      <c r="X158" s="765" t="s">
        <v>1144</v>
      </c>
      <c r="Y158" s="690" t="s">
        <v>1059</v>
      </c>
      <c r="Z158" s="1166">
        <v>15</v>
      </c>
      <c r="AA158" s="725"/>
      <c r="AC158" s="695">
        <f>V158</f>
        <v>1717986.9184000001</v>
      </c>
      <c r="AI158" s="826"/>
      <c r="AJ158" s="727"/>
    </row>
    <row r="159" spans="2:36" x14ac:dyDescent="0.3">
      <c r="B159" s="722"/>
      <c r="C159" s="723"/>
      <c r="D159" s="723"/>
      <c r="I159" s="1044"/>
      <c r="J159" s="765"/>
      <c r="K159" s="1044"/>
      <c r="L159" s="724"/>
      <c r="M159" s="1052"/>
      <c r="N159" s="1173"/>
      <c r="O159" s="765"/>
      <c r="P159" s="837"/>
      <c r="Q159" s="822"/>
      <c r="R159" s="95"/>
      <c r="S159" s="765"/>
      <c r="T159" s="823"/>
      <c r="U159" s="95"/>
      <c r="V159" s="765"/>
      <c r="W159" s="824"/>
      <c r="X159" s="765"/>
      <c r="Y159" s="765"/>
      <c r="Z159" s="1166"/>
      <c r="AA159" s="725"/>
      <c r="AI159" s="826"/>
      <c r="AJ159" s="727"/>
    </row>
    <row r="160" spans="2:36" ht="17.399999999999999" thickBot="1" x14ac:dyDescent="0.45">
      <c r="B160" s="722"/>
      <c r="C160" s="723"/>
      <c r="D160" s="723"/>
      <c r="I160" s="1044"/>
      <c r="J160" s="765">
        <f>J158</f>
        <v>21474836.48</v>
      </c>
      <c r="K160" s="1044"/>
      <c r="L160" s="692" t="s">
        <v>1180</v>
      </c>
      <c r="M160" s="1052">
        <f t="shared" ref="M160" si="56">Z160</f>
        <v>19</v>
      </c>
      <c r="N160" s="1490">
        <v>2.5000000000000001E-2</v>
      </c>
      <c r="O160" s="765">
        <f>J160*N160</f>
        <v>536870.91200000001</v>
      </c>
      <c r="P160" s="837"/>
      <c r="Q160" s="822">
        <f>Q158</f>
        <v>16</v>
      </c>
      <c r="R160" s="95">
        <f>R156</f>
        <v>1</v>
      </c>
      <c r="S160" s="734">
        <f>O160*Q160*R160</f>
        <v>8589934.5920000002</v>
      </c>
      <c r="T160" s="690" t="s">
        <v>1069</v>
      </c>
      <c r="U160" s="827">
        <v>1</v>
      </c>
      <c r="V160" s="765">
        <f t="shared" ref="V160" si="57">S160*U160</f>
        <v>8589934.5920000002</v>
      </c>
      <c r="W160" s="824">
        <f>N160*U160</f>
        <v>2.5000000000000001E-2</v>
      </c>
      <c r="X160" s="765" t="s">
        <v>1144</v>
      </c>
      <c r="Y160" s="690" t="s">
        <v>1069</v>
      </c>
      <c r="Z160" s="1166">
        <v>19</v>
      </c>
      <c r="AA160" s="725"/>
      <c r="AF160" s="695">
        <f>V160</f>
        <v>8589934.5920000002</v>
      </c>
      <c r="AI160" s="826"/>
      <c r="AJ160" s="727"/>
    </row>
    <row r="161" spans="2:36" x14ac:dyDescent="0.3">
      <c r="B161" s="722"/>
      <c r="C161" s="723"/>
      <c r="D161" s="723"/>
      <c r="I161" s="1044"/>
      <c r="J161" s="765"/>
      <c r="K161" s="1044"/>
      <c r="L161" s="724"/>
      <c r="M161" s="1052"/>
      <c r="N161" s="1173"/>
      <c r="O161" s="765"/>
      <c r="P161" s="837"/>
      <c r="Q161" s="822"/>
      <c r="R161" s="95"/>
      <c r="S161" s="765"/>
      <c r="T161" s="823"/>
      <c r="U161" s="95"/>
      <c r="V161" s="765"/>
      <c r="W161" s="824"/>
      <c r="X161" s="765"/>
      <c r="Y161" s="765"/>
      <c r="Z161" s="1166"/>
      <c r="AA161" s="725"/>
      <c r="AI161" s="826"/>
      <c r="AJ161" s="727"/>
    </row>
    <row r="162" spans="2:36" ht="17.399999999999999" thickBot="1" x14ac:dyDescent="0.45">
      <c r="B162" s="722"/>
      <c r="C162" s="723"/>
      <c r="D162" s="723"/>
      <c r="I162" s="1044"/>
      <c r="J162" s="765">
        <f>J160</f>
        <v>21474836.48</v>
      </c>
      <c r="K162" s="1044"/>
      <c r="L162" s="692" t="s">
        <v>1181</v>
      </c>
      <c r="M162" s="1052">
        <f t="shared" ref="M162" si="58">Z162</f>
        <v>22</v>
      </c>
      <c r="N162" s="1490">
        <v>5.0000000000000001E-3</v>
      </c>
      <c r="O162" s="765">
        <f>J162*N162</f>
        <v>107374.18240000001</v>
      </c>
      <c r="P162" s="837"/>
      <c r="Q162" s="822">
        <f>Q160</f>
        <v>16</v>
      </c>
      <c r="R162" s="95">
        <f>R158</f>
        <v>1</v>
      </c>
      <c r="S162" s="734">
        <f>O162*Q162*R162</f>
        <v>1717986.9184000001</v>
      </c>
      <c r="T162" s="690" t="s">
        <v>1072</v>
      </c>
      <c r="U162" s="827">
        <v>1</v>
      </c>
      <c r="V162" s="765">
        <f t="shared" ref="V162" si="59">S162*U162</f>
        <v>1717986.9184000001</v>
      </c>
      <c r="W162" s="824">
        <f>N162*U162</f>
        <v>5.0000000000000001E-3</v>
      </c>
      <c r="X162" s="765" t="s">
        <v>1144</v>
      </c>
      <c r="Y162" s="690" t="s">
        <v>1072</v>
      </c>
      <c r="Z162" s="1166">
        <v>22</v>
      </c>
      <c r="AA162" s="725"/>
      <c r="AE162" s="695">
        <f>V162</f>
        <v>1717986.9184000001</v>
      </c>
      <c r="AI162" s="826"/>
      <c r="AJ162" s="727"/>
    </row>
    <row r="163" spans="2:36" x14ac:dyDescent="0.3">
      <c r="B163" s="722"/>
      <c r="C163" s="723"/>
      <c r="D163" s="723"/>
      <c r="I163" s="1044"/>
      <c r="J163" s="765"/>
      <c r="K163" s="1044"/>
      <c r="L163" s="724"/>
      <c r="M163" s="1052"/>
      <c r="N163" s="1173"/>
      <c r="O163" s="765"/>
      <c r="P163" s="837"/>
      <c r="Q163" s="822"/>
      <c r="R163" s="95"/>
      <c r="S163" s="765"/>
      <c r="T163" s="823"/>
      <c r="U163" s="95"/>
      <c r="V163" s="765"/>
      <c r="W163" s="824"/>
      <c r="X163" s="765"/>
      <c r="Y163" s="765"/>
      <c r="Z163" s="1166"/>
      <c r="AA163" s="725"/>
      <c r="AI163" s="826"/>
      <c r="AJ163" s="727"/>
    </row>
    <row r="164" spans="2:36" ht="17.399999999999999" thickBot="1" x14ac:dyDescent="0.45">
      <c r="B164" s="722"/>
      <c r="C164" s="723"/>
      <c r="D164" s="723"/>
      <c r="I164" s="1044"/>
      <c r="J164" s="765">
        <f>J162</f>
        <v>21474836.48</v>
      </c>
      <c r="K164" s="1044"/>
      <c r="L164" s="724" t="s">
        <v>1071</v>
      </c>
      <c r="M164" s="1052">
        <f t="shared" si="46"/>
        <v>21</v>
      </c>
      <c r="N164" s="1490">
        <v>5.0000000000000001E-3</v>
      </c>
      <c r="O164" s="765">
        <f>J164*N164</f>
        <v>107374.18240000001</v>
      </c>
      <c r="P164" s="837"/>
      <c r="Q164" s="822">
        <f>Q162</f>
        <v>16</v>
      </c>
      <c r="R164" s="95">
        <f>R154</f>
        <v>1</v>
      </c>
      <c r="S164" s="734">
        <f>O164*Q164*R164</f>
        <v>1717986.9184000001</v>
      </c>
      <c r="T164" s="823" t="s">
        <v>1071</v>
      </c>
      <c r="U164" s="827">
        <v>1</v>
      </c>
      <c r="V164" s="765">
        <f t="shared" ref="V164" si="60">S164*U164</f>
        <v>1717986.9184000001</v>
      </c>
      <c r="W164" s="824">
        <f>N164*U164</f>
        <v>5.0000000000000001E-3</v>
      </c>
      <c r="X164" s="765" t="s">
        <v>1144</v>
      </c>
      <c r="Y164" s="765" t="s">
        <v>1071</v>
      </c>
      <c r="Z164" s="1166">
        <v>21</v>
      </c>
      <c r="AA164" s="725"/>
      <c r="AF164" s="695">
        <f>V164</f>
        <v>1717986.9184000001</v>
      </c>
      <c r="AI164" s="826"/>
      <c r="AJ164" s="727"/>
    </row>
    <row r="165" spans="2:36" x14ac:dyDescent="0.3">
      <c r="B165" s="722"/>
      <c r="C165" s="723"/>
      <c r="D165" s="723"/>
      <c r="I165" s="1044"/>
      <c r="J165" s="765"/>
      <c r="K165" s="1044"/>
      <c r="L165" s="724"/>
      <c r="M165" s="1052"/>
      <c r="N165" s="95"/>
      <c r="O165" s="820"/>
      <c r="P165" s="832"/>
      <c r="Q165" s="822"/>
      <c r="R165" s="95"/>
      <c r="S165" s="765"/>
      <c r="T165" s="823"/>
      <c r="U165" s="95"/>
      <c r="V165" s="765"/>
      <c r="W165" s="824"/>
      <c r="X165" s="765"/>
      <c r="Y165" s="765"/>
      <c r="Z165" s="1166"/>
      <c r="AA165" s="829" t="s">
        <v>1156</v>
      </c>
      <c r="AB165" s="830"/>
      <c r="AC165" s="831" t="s">
        <v>1137</v>
      </c>
      <c r="AD165" s="831" t="s">
        <v>1138</v>
      </c>
      <c r="AE165" s="831" t="s">
        <v>1139</v>
      </c>
      <c r="AF165" s="831" t="s">
        <v>1140</v>
      </c>
      <c r="AG165" s="831" t="s">
        <v>1141</v>
      </c>
      <c r="AH165" s="831" t="s">
        <v>148</v>
      </c>
      <c r="AI165" s="826"/>
      <c r="AJ165" s="727"/>
    </row>
    <row r="166" spans="2:36" ht="7.95" customHeight="1" x14ac:dyDescent="0.3">
      <c r="B166" s="722"/>
      <c r="C166" s="723"/>
      <c r="D166" s="723"/>
      <c r="I166" s="1044"/>
      <c r="J166" s="765"/>
      <c r="K166" s="1044"/>
      <c r="L166" s="724"/>
      <c r="M166" s="1052"/>
      <c r="N166" s="95"/>
      <c r="O166" s="765"/>
      <c r="P166" s="837"/>
      <c r="Q166" s="822"/>
      <c r="R166" s="95"/>
      <c r="S166" s="765"/>
      <c r="T166" s="823"/>
      <c r="U166" s="95"/>
      <c r="V166" s="765"/>
      <c r="W166" s="824"/>
      <c r="X166" s="765"/>
      <c r="Y166" s="765"/>
      <c r="Z166" s="1166"/>
      <c r="AA166" s="725"/>
      <c r="AI166" s="826"/>
      <c r="AJ166" s="727"/>
    </row>
    <row r="167" spans="2:36" ht="16.8" x14ac:dyDescent="0.4">
      <c r="B167" s="722"/>
      <c r="C167" s="723"/>
      <c r="D167" s="723"/>
      <c r="I167" s="1044"/>
      <c r="J167" s="765">
        <f>J164</f>
        <v>21474836.48</v>
      </c>
      <c r="K167" s="1044"/>
      <c r="L167" s="833" t="s">
        <v>1182</v>
      </c>
      <c r="M167" s="1057">
        <f>Z167</f>
        <v>29</v>
      </c>
      <c r="N167" s="1172">
        <v>0</v>
      </c>
      <c r="O167" s="765">
        <f>J167*N167</f>
        <v>0</v>
      </c>
      <c r="P167" s="837"/>
      <c r="Q167" s="822">
        <f>Q164</f>
        <v>16</v>
      </c>
      <c r="R167" s="95">
        <f>R164</f>
        <v>1</v>
      </c>
      <c r="S167" s="734">
        <f>O167*Q167*R167</f>
        <v>0</v>
      </c>
      <c r="T167" s="823" t="s">
        <v>35</v>
      </c>
      <c r="U167" s="95">
        <v>0.05</v>
      </c>
      <c r="V167" s="765">
        <f>S167*U167</f>
        <v>0</v>
      </c>
      <c r="W167" s="824">
        <f t="shared" ref="W167:W176" si="61">N167*U167</f>
        <v>0</v>
      </c>
      <c r="X167" s="765" t="s">
        <v>1144</v>
      </c>
      <c r="Y167" s="765" t="s">
        <v>35</v>
      </c>
      <c r="Z167" s="1166">
        <v>29</v>
      </c>
      <c r="AA167" s="725"/>
      <c r="AF167" s="695">
        <f>V167</f>
        <v>0</v>
      </c>
      <c r="AI167" s="826"/>
      <c r="AJ167" s="727"/>
    </row>
    <row r="168" spans="2:36" x14ac:dyDescent="0.3">
      <c r="B168" s="722"/>
      <c r="C168" s="723"/>
      <c r="D168" s="723"/>
      <c r="I168" s="1044"/>
      <c r="J168" s="765"/>
      <c r="K168" s="1044"/>
      <c r="L168" s="833"/>
      <c r="M168" s="1057">
        <f t="shared" ref="M168:M176" si="62">Z168</f>
        <v>30</v>
      </c>
      <c r="N168" s="812">
        <f>N167</f>
        <v>0</v>
      </c>
      <c r="O168" s="765"/>
      <c r="P168" s="837"/>
      <c r="Q168" s="822"/>
      <c r="R168" s="95"/>
      <c r="S168" s="765">
        <f>S167</f>
        <v>0</v>
      </c>
      <c r="T168" s="823" t="s">
        <v>1115</v>
      </c>
      <c r="U168" s="95">
        <v>0.05</v>
      </c>
      <c r="V168" s="765">
        <f t="shared" ref="V168:V176" si="63">S168*U168</f>
        <v>0</v>
      </c>
      <c r="W168" s="824">
        <f t="shared" si="61"/>
        <v>0</v>
      </c>
      <c r="X168" s="765" t="s">
        <v>1144</v>
      </c>
      <c r="Y168" s="765" t="s">
        <v>1081</v>
      </c>
      <c r="Z168" s="1166">
        <v>30</v>
      </c>
      <c r="AA168" s="725"/>
      <c r="AF168" s="695">
        <f>V168</f>
        <v>0</v>
      </c>
      <c r="AI168" s="826"/>
      <c r="AJ168" s="727"/>
    </row>
    <row r="169" spans="2:36" x14ac:dyDescent="0.3">
      <c r="B169" s="722"/>
      <c r="C169" s="723"/>
      <c r="D169" s="723"/>
      <c r="I169" s="1044"/>
      <c r="J169" s="765"/>
      <c r="K169" s="1044"/>
      <c r="L169" s="833"/>
      <c r="M169" s="1057">
        <f t="shared" si="62"/>
        <v>31</v>
      </c>
      <c r="N169" s="812">
        <f>N168</f>
        <v>0</v>
      </c>
      <c r="O169" s="765"/>
      <c r="P169" s="837"/>
      <c r="Q169" s="822"/>
      <c r="R169" s="95"/>
      <c r="S169" s="765">
        <f>S168</f>
        <v>0</v>
      </c>
      <c r="T169" s="823" t="s">
        <v>1082</v>
      </c>
      <c r="U169" s="95">
        <v>0.05</v>
      </c>
      <c r="V169" s="765">
        <f t="shared" si="63"/>
        <v>0</v>
      </c>
      <c r="W169" s="824">
        <f t="shared" si="61"/>
        <v>0</v>
      </c>
      <c r="X169" s="765" t="s">
        <v>1144</v>
      </c>
      <c r="Y169" s="825" t="s">
        <v>1082</v>
      </c>
      <c r="Z169" s="1166">
        <v>31</v>
      </c>
      <c r="AA169" s="725"/>
      <c r="AG169" s="695" t="str">
        <f>Y169</f>
        <v>Assets / Recourses</v>
      </c>
      <c r="AI169" s="826"/>
      <c r="AJ169" s="727"/>
    </row>
    <row r="170" spans="2:36" x14ac:dyDescent="0.3">
      <c r="B170" s="722"/>
      <c r="C170" s="723"/>
      <c r="D170" s="723"/>
      <c r="I170" s="1044"/>
      <c r="J170" s="765"/>
      <c r="K170" s="1044"/>
      <c r="L170" s="833" t="s">
        <v>1183</v>
      </c>
      <c r="M170" s="1057">
        <f t="shared" si="62"/>
        <v>20</v>
      </c>
      <c r="N170" s="107">
        <f>N169</f>
        <v>0</v>
      </c>
      <c r="O170" s="765"/>
      <c r="P170" s="837"/>
      <c r="Q170" s="822"/>
      <c r="R170" s="95"/>
      <c r="S170" s="765">
        <f>S167</f>
        <v>0</v>
      </c>
      <c r="T170" s="823" t="s">
        <v>1184</v>
      </c>
      <c r="U170" s="95">
        <v>0.05</v>
      </c>
      <c r="V170" s="765">
        <f t="shared" si="63"/>
        <v>0</v>
      </c>
      <c r="W170" s="824">
        <f t="shared" si="61"/>
        <v>0</v>
      </c>
      <c r="X170" s="765" t="s">
        <v>1144</v>
      </c>
      <c r="Y170" s="734" t="s">
        <v>1070</v>
      </c>
      <c r="Z170" s="1168">
        <v>20</v>
      </c>
      <c r="AA170" s="725"/>
      <c r="AE170" s="695">
        <f>V170</f>
        <v>0</v>
      </c>
      <c r="AI170" s="826"/>
      <c r="AJ170" s="727"/>
    </row>
    <row r="171" spans="2:36" x14ac:dyDescent="0.3">
      <c r="B171" s="722"/>
      <c r="C171" s="723"/>
      <c r="D171" s="723"/>
      <c r="I171" s="1044"/>
      <c r="J171" s="765"/>
      <c r="K171" s="1044"/>
      <c r="L171" s="833" t="s">
        <v>706</v>
      </c>
      <c r="M171" s="1057">
        <f t="shared" si="62"/>
        <v>3</v>
      </c>
      <c r="N171" s="95">
        <f>N167</f>
        <v>0</v>
      </c>
      <c r="O171" s="765"/>
      <c r="P171" s="837"/>
      <c r="Q171" s="822"/>
      <c r="R171" s="95"/>
      <c r="S171" s="765">
        <f t="shared" ref="S171" si="64">S167</f>
        <v>0</v>
      </c>
      <c r="T171" s="823" t="s">
        <v>1185</v>
      </c>
      <c r="U171" s="95">
        <v>0.05</v>
      </c>
      <c r="V171" s="765">
        <f t="shared" si="63"/>
        <v>0</v>
      </c>
      <c r="W171" s="824">
        <f t="shared" si="61"/>
        <v>0</v>
      </c>
      <c r="X171" s="765" t="s">
        <v>1144</v>
      </c>
      <c r="Y171" s="734" t="s">
        <v>1047</v>
      </c>
      <c r="Z171" s="1166">
        <v>3</v>
      </c>
      <c r="AA171" s="725"/>
      <c r="AE171" s="695">
        <f>V171</f>
        <v>0</v>
      </c>
      <c r="AI171" s="826"/>
      <c r="AJ171" s="727"/>
    </row>
    <row r="172" spans="2:36" x14ac:dyDescent="0.3">
      <c r="B172" s="722"/>
      <c r="C172" s="723"/>
      <c r="D172" s="723"/>
      <c r="I172" s="1044"/>
      <c r="J172" s="765"/>
      <c r="K172" s="1044"/>
      <c r="L172" s="833" t="s">
        <v>706</v>
      </c>
      <c r="M172" s="1057">
        <f t="shared" si="62"/>
        <v>1</v>
      </c>
      <c r="N172" s="95">
        <f>N170</f>
        <v>0</v>
      </c>
      <c r="O172" s="765"/>
      <c r="P172" s="837"/>
      <c r="Q172" s="822"/>
      <c r="R172" s="95"/>
      <c r="S172" s="765">
        <f t="shared" ref="S172" si="65">S170</f>
        <v>0</v>
      </c>
      <c r="T172" s="823" t="s">
        <v>101</v>
      </c>
      <c r="U172" s="95">
        <v>0.15</v>
      </c>
      <c r="V172" s="765">
        <f t="shared" si="63"/>
        <v>0</v>
      </c>
      <c r="W172" s="824">
        <f t="shared" si="61"/>
        <v>0</v>
      </c>
      <c r="X172" s="765" t="s">
        <v>1144</v>
      </c>
      <c r="Y172" s="734" t="s">
        <v>1045</v>
      </c>
      <c r="Z172" s="1166">
        <v>1</v>
      </c>
      <c r="AA172" s="725"/>
      <c r="AC172" s="695">
        <f>V172</f>
        <v>0</v>
      </c>
      <c r="AI172" s="826"/>
      <c r="AJ172" s="727"/>
    </row>
    <row r="173" spans="2:36" x14ac:dyDescent="0.3">
      <c r="B173" s="722"/>
      <c r="C173" s="723"/>
      <c r="D173" s="723"/>
      <c r="I173" s="1044"/>
      <c r="J173" s="765"/>
      <c r="K173" s="1044"/>
      <c r="L173" s="834"/>
      <c r="M173" s="1057">
        <f t="shared" si="62"/>
        <v>20</v>
      </c>
      <c r="N173" s="95">
        <f>N172</f>
        <v>0</v>
      </c>
      <c r="O173" s="765"/>
      <c r="P173" s="837"/>
      <c r="Q173" s="822"/>
      <c r="R173" s="95"/>
      <c r="S173" s="765">
        <f>S172</f>
        <v>0</v>
      </c>
      <c r="T173" s="823" t="s">
        <v>1186</v>
      </c>
      <c r="U173" s="95">
        <v>0.3</v>
      </c>
      <c r="V173" s="765">
        <f t="shared" si="63"/>
        <v>0</v>
      </c>
      <c r="W173" s="824">
        <f t="shared" si="61"/>
        <v>0</v>
      </c>
      <c r="X173" s="765" t="s">
        <v>1144</v>
      </c>
      <c r="Y173" s="734" t="s">
        <v>1070</v>
      </c>
      <c r="Z173" s="1166">
        <v>20</v>
      </c>
      <c r="AA173" s="725"/>
      <c r="AD173" s="695">
        <f>V173</f>
        <v>0</v>
      </c>
      <c r="AI173" s="826"/>
      <c r="AJ173" s="727"/>
    </row>
    <row r="174" spans="2:36" x14ac:dyDescent="0.3">
      <c r="B174" s="722"/>
      <c r="C174" s="723"/>
      <c r="D174" s="723"/>
      <c r="I174" s="1044"/>
      <c r="J174" s="765"/>
      <c r="K174" s="1044"/>
      <c r="L174" s="834"/>
      <c r="M174" s="1057" t="str">
        <f t="shared" si="62"/>
        <v>0B</v>
      </c>
      <c r="N174" s="95">
        <f>N173</f>
        <v>0</v>
      </c>
      <c r="O174" s="765"/>
      <c r="P174" s="837"/>
      <c r="Q174" s="822"/>
      <c r="R174" s="95"/>
      <c r="S174" s="765">
        <f>S173</f>
        <v>0</v>
      </c>
      <c r="T174" s="823" t="s">
        <v>1187</v>
      </c>
      <c r="U174" s="95">
        <v>0.09</v>
      </c>
      <c r="V174" s="765">
        <f t="shared" si="63"/>
        <v>0</v>
      </c>
      <c r="W174" s="824">
        <f t="shared" si="61"/>
        <v>0</v>
      </c>
      <c r="X174" s="765" t="s">
        <v>1144</v>
      </c>
      <c r="Y174" s="765" t="s">
        <v>1188</v>
      </c>
      <c r="Z174" s="1166" t="s">
        <v>1043</v>
      </c>
      <c r="AA174" s="725"/>
      <c r="AC174" s="695">
        <f>V174</f>
        <v>0</v>
      </c>
      <c r="AI174" s="826"/>
      <c r="AJ174" s="727"/>
    </row>
    <row r="175" spans="2:36" x14ac:dyDescent="0.3">
      <c r="B175" s="722"/>
      <c r="C175" s="723"/>
      <c r="D175" s="723"/>
      <c r="I175" s="1044"/>
      <c r="J175" s="765"/>
      <c r="K175" s="1044"/>
      <c r="L175" s="834"/>
      <c r="M175" s="1057" t="str">
        <f t="shared" si="62"/>
        <v>0A</v>
      </c>
      <c r="N175" s="95">
        <f>N174</f>
        <v>0</v>
      </c>
      <c r="O175" s="765"/>
      <c r="P175" s="837"/>
      <c r="Q175" s="822"/>
      <c r="R175" s="95"/>
      <c r="S175" s="765">
        <f>S174</f>
        <v>0</v>
      </c>
      <c r="T175" s="823" t="s">
        <v>1044</v>
      </c>
      <c r="U175" s="835">
        <v>0.01</v>
      </c>
      <c r="V175" s="765">
        <f t="shared" si="63"/>
        <v>0</v>
      </c>
      <c r="W175" s="824">
        <f t="shared" si="61"/>
        <v>0</v>
      </c>
      <c r="X175" s="765" t="s">
        <v>1144</v>
      </c>
      <c r="Y175" s="823" t="s">
        <v>1044</v>
      </c>
      <c r="Z175" s="1166" t="s">
        <v>1041</v>
      </c>
      <c r="AA175" s="725"/>
      <c r="AC175" s="695">
        <f>V175</f>
        <v>0</v>
      </c>
      <c r="AI175" s="826"/>
      <c r="AJ175" s="727"/>
    </row>
    <row r="176" spans="2:36" x14ac:dyDescent="0.3">
      <c r="B176" s="722"/>
      <c r="C176" s="723"/>
      <c r="D176" s="723"/>
      <c r="I176" s="1044"/>
      <c r="J176" s="765"/>
      <c r="K176" s="1044"/>
      <c r="L176" s="834"/>
      <c r="M176" s="1057">
        <f t="shared" si="62"/>
        <v>32</v>
      </c>
      <c r="N176" s="95">
        <f>N175</f>
        <v>0</v>
      </c>
      <c r="O176" s="765"/>
      <c r="P176" s="837"/>
      <c r="Q176" s="822"/>
      <c r="R176" s="95"/>
      <c r="S176" s="765">
        <f>S175</f>
        <v>0</v>
      </c>
      <c r="T176" s="823" t="s">
        <v>148</v>
      </c>
      <c r="U176" s="95">
        <v>0.2</v>
      </c>
      <c r="V176" s="765">
        <f t="shared" si="63"/>
        <v>0</v>
      </c>
      <c r="W176" s="824">
        <f t="shared" si="61"/>
        <v>0</v>
      </c>
      <c r="X176" s="765" t="s">
        <v>1144</v>
      </c>
      <c r="Y176" s="765" t="s">
        <v>148</v>
      </c>
      <c r="Z176" s="1166">
        <v>32</v>
      </c>
      <c r="AA176" s="725"/>
      <c r="AH176" s="695">
        <f>V176</f>
        <v>0</v>
      </c>
      <c r="AI176" s="826"/>
      <c r="AJ176" s="727"/>
    </row>
    <row r="177" spans="2:36" ht="16.2" thickBot="1" x14ac:dyDescent="0.35">
      <c r="B177" s="722"/>
      <c r="C177" s="723"/>
      <c r="D177" s="723"/>
      <c r="I177" s="1044"/>
      <c r="J177" s="765"/>
      <c r="K177" s="1044"/>
      <c r="L177" s="724"/>
      <c r="M177" s="1052"/>
      <c r="N177" s="95"/>
      <c r="O177" s="765"/>
      <c r="P177" s="837"/>
      <c r="Q177" s="822"/>
      <c r="R177" s="95"/>
      <c r="S177" s="765"/>
      <c r="T177" s="823"/>
      <c r="U177" s="827">
        <f>SUM(U167:U176)</f>
        <v>1</v>
      </c>
      <c r="V177" s="765"/>
      <c r="W177" s="824"/>
      <c r="X177" s="765"/>
      <c r="Y177" s="765"/>
      <c r="Z177" s="1166"/>
      <c r="AA177" s="725"/>
      <c r="AI177" s="826"/>
      <c r="AJ177" s="727"/>
    </row>
    <row r="178" spans="2:36" ht="7.95" customHeight="1" x14ac:dyDescent="0.3">
      <c r="B178" s="722"/>
      <c r="C178" s="723"/>
      <c r="D178" s="723"/>
      <c r="I178" s="1044"/>
      <c r="J178" s="765"/>
      <c r="K178" s="1044"/>
      <c r="L178" s="724"/>
      <c r="M178" s="1052"/>
      <c r="N178" s="95"/>
      <c r="O178" s="765"/>
      <c r="P178" s="837"/>
      <c r="Q178" s="822"/>
      <c r="R178" s="95"/>
      <c r="S178" s="765"/>
      <c r="T178" s="823"/>
      <c r="U178" s="95"/>
      <c r="V178" s="765"/>
      <c r="W178" s="824"/>
      <c r="X178" s="765"/>
      <c r="Y178" s="765"/>
      <c r="Z178" s="1166"/>
      <c r="AA178" s="725"/>
      <c r="AI178" s="826"/>
      <c r="AJ178" s="727"/>
    </row>
    <row r="179" spans="2:36" ht="16.8" x14ac:dyDescent="0.4">
      <c r="B179" s="722"/>
      <c r="C179" s="723"/>
      <c r="D179" s="723"/>
      <c r="I179" s="1044"/>
      <c r="J179" s="765">
        <f>J167</f>
        <v>21474836.48</v>
      </c>
      <c r="K179" s="1044"/>
      <c r="L179" s="833" t="s">
        <v>1189</v>
      </c>
      <c r="M179" s="1057">
        <f t="shared" ref="M179:M189" si="66">Z179</f>
        <v>6</v>
      </c>
      <c r="N179" s="1172">
        <v>0.3</v>
      </c>
      <c r="O179" s="765">
        <f>J179*N179</f>
        <v>6442450.9440000001</v>
      </c>
      <c r="P179" s="837"/>
      <c r="Q179" s="822">
        <f>Q167</f>
        <v>16</v>
      </c>
      <c r="R179" s="95">
        <f>R167</f>
        <v>1</v>
      </c>
      <c r="S179" s="734">
        <f>O179*Q179*R179</f>
        <v>103079215.104</v>
      </c>
      <c r="T179" s="823" t="s">
        <v>1146</v>
      </c>
      <c r="U179" s="95">
        <v>0.15</v>
      </c>
      <c r="V179" s="765">
        <f>S179*U179</f>
        <v>15461882.2656</v>
      </c>
      <c r="W179" s="824">
        <f t="shared" ref="W179:W189" si="67">N179*U179</f>
        <v>4.4999999999999998E-2</v>
      </c>
      <c r="X179" s="765" t="s">
        <v>1144</v>
      </c>
      <c r="Y179" s="765" t="s">
        <v>1050</v>
      </c>
      <c r="Z179" s="1166">
        <v>6</v>
      </c>
      <c r="AA179" s="725"/>
      <c r="AC179" s="695">
        <f>V179</f>
        <v>15461882.2656</v>
      </c>
      <c r="AI179" s="826"/>
      <c r="AJ179" s="727"/>
    </row>
    <row r="180" spans="2:36" x14ac:dyDescent="0.3">
      <c r="B180" s="722"/>
      <c r="C180" s="723"/>
      <c r="D180" s="723"/>
      <c r="I180" s="1044"/>
      <c r="J180" s="765"/>
      <c r="K180" s="1044"/>
      <c r="L180" s="833" t="s">
        <v>1190</v>
      </c>
      <c r="M180" s="1057" t="str">
        <f t="shared" si="66"/>
        <v>0A</v>
      </c>
      <c r="N180" s="95">
        <f t="shared" ref="N180:N181" si="68">N179</f>
        <v>0.3</v>
      </c>
      <c r="O180" s="765"/>
      <c r="P180" s="837"/>
      <c r="Q180" s="822"/>
      <c r="R180" s="95"/>
      <c r="S180" s="765">
        <f t="shared" ref="S180:S181" si="69">S179</f>
        <v>103079215.104</v>
      </c>
      <c r="T180" s="823" t="s">
        <v>1044</v>
      </c>
      <c r="U180" s="95">
        <v>0.15</v>
      </c>
      <c r="V180" s="765">
        <f t="shared" ref="V180:V187" si="70">S180*U180</f>
        <v>15461882.2656</v>
      </c>
      <c r="W180" s="824">
        <f t="shared" si="67"/>
        <v>4.4999999999999998E-2</v>
      </c>
      <c r="X180" s="765" t="s">
        <v>1144</v>
      </c>
      <c r="Y180" s="836" t="s">
        <v>1044</v>
      </c>
      <c r="Z180" s="1166" t="s">
        <v>1041</v>
      </c>
      <c r="AA180" s="725"/>
      <c r="AC180" s="695">
        <f t="shared" ref="AC180:AC189" si="71">V180</f>
        <v>15461882.2656</v>
      </c>
      <c r="AI180" s="826"/>
      <c r="AJ180" s="727"/>
    </row>
    <row r="181" spans="2:36" x14ac:dyDescent="0.3">
      <c r="B181" s="722"/>
      <c r="C181" s="723"/>
      <c r="D181" s="723"/>
      <c r="I181" s="1044"/>
      <c r="J181" s="765"/>
      <c r="K181" s="1044"/>
      <c r="L181" s="833"/>
      <c r="M181" s="1057">
        <f t="shared" si="66"/>
        <v>4</v>
      </c>
      <c r="N181" s="95">
        <f t="shared" si="68"/>
        <v>0.3</v>
      </c>
      <c r="O181" s="765"/>
      <c r="P181" s="837"/>
      <c r="Q181" s="822"/>
      <c r="R181" s="95"/>
      <c r="S181" s="765">
        <f t="shared" si="69"/>
        <v>103079215.104</v>
      </c>
      <c r="T181" s="823" t="s">
        <v>1173</v>
      </c>
      <c r="U181" s="95">
        <v>0.1</v>
      </c>
      <c r="V181" s="765">
        <f t="shared" si="70"/>
        <v>10307921.510400001</v>
      </c>
      <c r="W181" s="824">
        <f t="shared" si="67"/>
        <v>0.03</v>
      </c>
      <c r="X181" s="765" t="s">
        <v>1144</v>
      </c>
      <c r="Y181" s="734" t="s">
        <v>1048</v>
      </c>
      <c r="Z181" s="1166">
        <v>4</v>
      </c>
      <c r="AA181" s="725"/>
      <c r="AC181" s="695">
        <f>V181</f>
        <v>10307921.510400001</v>
      </c>
      <c r="AI181" s="826"/>
      <c r="AJ181" s="727"/>
    </row>
    <row r="182" spans="2:36" x14ac:dyDescent="0.3">
      <c r="B182" s="722"/>
      <c r="C182" s="723"/>
      <c r="D182" s="723"/>
      <c r="I182" s="1044"/>
      <c r="J182" s="765"/>
      <c r="K182" s="1044"/>
      <c r="L182" s="833" t="s">
        <v>1191</v>
      </c>
      <c r="M182" s="1057">
        <f t="shared" si="66"/>
        <v>10</v>
      </c>
      <c r="N182" s="95">
        <f>N181</f>
        <v>0.3</v>
      </c>
      <c r="O182" s="765"/>
      <c r="P182" s="837"/>
      <c r="Q182" s="822"/>
      <c r="R182" s="95"/>
      <c r="S182" s="765">
        <f>S181</f>
        <v>103079215.104</v>
      </c>
      <c r="T182" s="823" t="s">
        <v>1192</v>
      </c>
      <c r="U182" s="95">
        <v>0.15</v>
      </c>
      <c r="V182" s="765">
        <f t="shared" si="70"/>
        <v>15461882.2656</v>
      </c>
      <c r="W182" s="824">
        <f t="shared" si="67"/>
        <v>4.4999999999999998E-2</v>
      </c>
      <c r="X182" s="765" t="s">
        <v>1144</v>
      </c>
      <c r="Y182" s="734" t="s">
        <v>1054</v>
      </c>
      <c r="Z182" s="1166">
        <v>10</v>
      </c>
      <c r="AA182" s="725"/>
      <c r="AC182" s="695">
        <f>V182</f>
        <v>15461882.2656</v>
      </c>
      <c r="AI182" s="826"/>
      <c r="AJ182" s="727"/>
    </row>
    <row r="183" spans="2:36" x14ac:dyDescent="0.3">
      <c r="B183" s="722"/>
      <c r="C183" s="723"/>
      <c r="D183" s="723"/>
      <c r="I183" s="1044"/>
      <c r="J183" s="765"/>
      <c r="K183" s="1044"/>
      <c r="L183" s="833" t="s">
        <v>1193</v>
      </c>
      <c r="M183" s="1057">
        <f t="shared" si="66"/>
        <v>12</v>
      </c>
      <c r="N183" s="95">
        <f t="shared" ref="N183:N189" si="72">N182</f>
        <v>0.3</v>
      </c>
      <c r="O183" s="765"/>
      <c r="P183" s="837"/>
      <c r="Q183" s="822"/>
      <c r="R183" s="95"/>
      <c r="S183" s="765">
        <f t="shared" ref="S183:S189" si="73">S182</f>
        <v>103079215.104</v>
      </c>
      <c r="T183" s="823" t="s">
        <v>1169</v>
      </c>
      <c r="U183" s="95">
        <v>0.05</v>
      </c>
      <c r="V183" s="765">
        <f t="shared" si="70"/>
        <v>5153960.7552000005</v>
      </c>
      <c r="W183" s="824">
        <f t="shared" si="67"/>
        <v>1.4999999999999999E-2</v>
      </c>
      <c r="X183" s="765" t="s">
        <v>1144</v>
      </c>
      <c r="Y183" s="734" t="s">
        <v>1056</v>
      </c>
      <c r="Z183" s="1166">
        <v>12</v>
      </c>
      <c r="AA183" s="725"/>
      <c r="AC183" s="695">
        <f t="shared" si="71"/>
        <v>5153960.7552000005</v>
      </c>
      <c r="AI183" s="826"/>
      <c r="AJ183" s="727"/>
    </row>
    <row r="184" spans="2:36" x14ac:dyDescent="0.3">
      <c r="B184" s="722"/>
      <c r="C184" s="723"/>
      <c r="D184" s="723"/>
      <c r="I184" s="1044"/>
      <c r="J184" s="765"/>
      <c r="K184" s="1044"/>
      <c r="L184" s="833"/>
      <c r="M184" s="1057">
        <f t="shared" si="66"/>
        <v>7</v>
      </c>
      <c r="N184" s="95">
        <f t="shared" si="72"/>
        <v>0.3</v>
      </c>
      <c r="O184" s="765"/>
      <c r="P184" s="837"/>
      <c r="Q184" s="822"/>
      <c r="R184" s="95"/>
      <c r="S184" s="765">
        <f t="shared" si="73"/>
        <v>103079215.104</v>
      </c>
      <c r="T184" s="823" t="s">
        <v>1194</v>
      </c>
      <c r="U184" s="95">
        <v>0.05</v>
      </c>
      <c r="V184" s="765">
        <f t="shared" si="70"/>
        <v>5153960.7552000005</v>
      </c>
      <c r="W184" s="824">
        <f t="shared" si="67"/>
        <v>1.4999999999999999E-2</v>
      </c>
      <c r="X184" s="765" t="s">
        <v>1144</v>
      </c>
      <c r="Y184" s="690" t="s">
        <v>1051</v>
      </c>
      <c r="Z184" s="1166">
        <v>7</v>
      </c>
      <c r="AA184" s="725"/>
      <c r="AC184" s="695">
        <f t="shared" si="71"/>
        <v>5153960.7552000005</v>
      </c>
      <c r="AI184" s="826"/>
      <c r="AJ184" s="727"/>
    </row>
    <row r="185" spans="2:36" x14ac:dyDescent="0.3">
      <c r="B185" s="722"/>
      <c r="C185" s="723"/>
      <c r="D185" s="723"/>
      <c r="I185" s="1044"/>
      <c r="J185" s="765"/>
      <c r="K185" s="1044"/>
      <c r="L185" s="833"/>
      <c r="M185" s="1057">
        <f t="shared" si="66"/>
        <v>4</v>
      </c>
      <c r="N185" s="95">
        <f t="shared" si="72"/>
        <v>0.3</v>
      </c>
      <c r="O185" s="765"/>
      <c r="P185" s="837"/>
      <c r="Q185" s="822"/>
      <c r="R185" s="95"/>
      <c r="S185" s="765">
        <f t="shared" si="73"/>
        <v>103079215.104</v>
      </c>
      <c r="T185" s="744" t="s">
        <v>1195</v>
      </c>
      <c r="U185" s="95">
        <v>2.5000000000000001E-2</v>
      </c>
      <c r="V185" s="765">
        <f t="shared" si="70"/>
        <v>2576980.3776000002</v>
      </c>
      <c r="W185" s="824">
        <f t="shared" si="67"/>
        <v>7.4999999999999997E-3</v>
      </c>
      <c r="X185" s="765" t="s">
        <v>1144</v>
      </c>
      <c r="Y185" s="734" t="s">
        <v>1047</v>
      </c>
      <c r="Z185" s="1166">
        <v>4</v>
      </c>
      <c r="AA185" s="725"/>
      <c r="AC185" s="695">
        <f t="shared" si="71"/>
        <v>2576980.3776000002</v>
      </c>
      <c r="AI185" s="826"/>
      <c r="AJ185" s="727"/>
    </row>
    <row r="186" spans="2:36" x14ac:dyDescent="0.3">
      <c r="B186" s="722"/>
      <c r="C186" s="723"/>
      <c r="D186" s="723"/>
      <c r="I186" s="1044"/>
      <c r="J186" s="67">
        <v>75543543000000</v>
      </c>
      <c r="K186" s="1044"/>
      <c r="L186" s="833"/>
      <c r="M186" s="1057">
        <f t="shared" si="66"/>
        <v>11</v>
      </c>
      <c r="N186" s="95">
        <f t="shared" si="72"/>
        <v>0.3</v>
      </c>
      <c r="O186" s="765"/>
      <c r="P186" s="837"/>
      <c r="Q186" s="822"/>
      <c r="R186" s="95"/>
      <c r="S186" s="765">
        <f t="shared" si="73"/>
        <v>103079215.104</v>
      </c>
      <c r="T186" s="823" t="s">
        <v>1196</v>
      </c>
      <c r="U186" s="95">
        <v>2.5000000000000001E-2</v>
      </c>
      <c r="V186" s="765">
        <f t="shared" si="70"/>
        <v>2576980.3776000002</v>
      </c>
      <c r="W186" s="824">
        <f t="shared" si="67"/>
        <v>7.4999999999999997E-3</v>
      </c>
      <c r="X186" s="765" t="s">
        <v>1144</v>
      </c>
      <c r="Y186" s="690" t="s">
        <v>1055</v>
      </c>
      <c r="Z186" s="1166">
        <v>11</v>
      </c>
      <c r="AA186" s="725"/>
      <c r="AC186" s="695">
        <f t="shared" si="71"/>
        <v>2576980.3776000002</v>
      </c>
      <c r="AI186" s="826"/>
      <c r="AJ186" s="727"/>
    </row>
    <row r="187" spans="2:36" x14ac:dyDescent="0.3">
      <c r="B187" s="722"/>
      <c r="C187" s="723"/>
      <c r="D187" s="723"/>
      <c r="I187" s="1044"/>
      <c r="J187" s="215">
        <v>0.01</v>
      </c>
      <c r="K187" s="1044"/>
      <c r="L187" s="833"/>
      <c r="M187" s="1057">
        <f t="shared" si="66"/>
        <v>5</v>
      </c>
      <c r="N187" s="95">
        <f t="shared" si="72"/>
        <v>0.3</v>
      </c>
      <c r="O187" s="765"/>
      <c r="P187" s="837"/>
      <c r="Q187" s="822"/>
      <c r="R187" s="95"/>
      <c r="S187" s="765">
        <f t="shared" si="73"/>
        <v>103079215.104</v>
      </c>
      <c r="T187" s="823" t="s">
        <v>1197</v>
      </c>
      <c r="U187" s="95">
        <v>0.05</v>
      </c>
      <c r="V187" s="765">
        <f t="shared" si="70"/>
        <v>5153960.7552000005</v>
      </c>
      <c r="W187" s="824">
        <f t="shared" si="67"/>
        <v>1.4999999999999999E-2</v>
      </c>
      <c r="X187" s="765" t="s">
        <v>1144</v>
      </c>
      <c r="Y187" s="825" t="s">
        <v>1197</v>
      </c>
      <c r="Z187" s="1166">
        <v>5</v>
      </c>
      <c r="AA187" s="725"/>
      <c r="AC187" s="695">
        <f t="shared" si="71"/>
        <v>5153960.7552000005</v>
      </c>
      <c r="AI187" s="826"/>
      <c r="AJ187" s="727"/>
    </row>
    <row r="188" spans="2:36" x14ac:dyDescent="0.3">
      <c r="B188" s="722"/>
      <c r="C188" s="723"/>
      <c r="D188" s="723"/>
      <c r="I188" s="1044"/>
      <c r="J188" s="765">
        <f>J186*J187</f>
        <v>755435430000</v>
      </c>
      <c r="K188" s="1044"/>
      <c r="L188" s="833"/>
      <c r="M188" s="1057">
        <f t="shared" si="66"/>
        <v>1</v>
      </c>
      <c r="N188" s="95">
        <f t="shared" si="72"/>
        <v>0.3</v>
      </c>
      <c r="O188" s="765"/>
      <c r="P188" s="837"/>
      <c r="Q188" s="822"/>
      <c r="R188" s="95"/>
      <c r="S188" s="765">
        <f t="shared" si="73"/>
        <v>103079215.104</v>
      </c>
      <c r="T188" s="823" t="s">
        <v>101</v>
      </c>
      <c r="U188" s="95">
        <v>0.1</v>
      </c>
      <c r="V188" s="765">
        <f>S188*U188</f>
        <v>10307921.510400001</v>
      </c>
      <c r="W188" s="824">
        <f t="shared" si="67"/>
        <v>0.03</v>
      </c>
      <c r="X188" s="765" t="s">
        <v>1144</v>
      </c>
      <c r="Y188" s="765" t="s">
        <v>1198</v>
      </c>
      <c r="Z188" s="1166">
        <v>1</v>
      </c>
      <c r="AA188" s="725"/>
      <c r="AC188" s="695">
        <f t="shared" si="71"/>
        <v>10307921.510400001</v>
      </c>
      <c r="AI188" s="826"/>
      <c r="AJ188" s="727"/>
    </row>
    <row r="189" spans="2:36" x14ac:dyDescent="0.3">
      <c r="B189" s="722"/>
      <c r="C189" s="723"/>
      <c r="D189" s="723"/>
      <c r="I189" s="1044"/>
      <c r="J189" s="382">
        <v>3.125E-2</v>
      </c>
      <c r="K189" s="1044"/>
      <c r="L189" s="833"/>
      <c r="M189" s="1057">
        <f t="shared" si="66"/>
        <v>32</v>
      </c>
      <c r="N189" s="95">
        <f t="shared" si="72"/>
        <v>0.3</v>
      </c>
      <c r="O189" s="765"/>
      <c r="P189" s="837"/>
      <c r="Q189" s="822"/>
      <c r="R189" s="95"/>
      <c r="S189" s="765">
        <f t="shared" si="73"/>
        <v>103079215.104</v>
      </c>
      <c r="T189" s="823" t="s">
        <v>148</v>
      </c>
      <c r="U189" s="95">
        <v>0.15</v>
      </c>
      <c r="V189" s="765">
        <f t="shared" ref="V189" si="74">S189*U189</f>
        <v>15461882.2656</v>
      </c>
      <c r="W189" s="824">
        <f t="shared" si="67"/>
        <v>4.4999999999999998E-2</v>
      </c>
      <c r="X189" s="765" t="s">
        <v>1144</v>
      </c>
      <c r="Y189" s="836" t="s">
        <v>148</v>
      </c>
      <c r="Z189" s="1166">
        <v>32</v>
      </c>
      <c r="AA189" s="725"/>
      <c r="AC189" s="695">
        <f t="shared" si="71"/>
        <v>15461882.2656</v>
      </c>
      <c r="AI189" s="826"/>
      <c r="AJ189" s="727"/>
    </row>
    <row r="190" spans="2:36" ht="16.2" thickBot="1" x14ac:dyDescent="0.35">
      <c r="B190" s="722"/>
      <c r="C190" s="723"/>
      <c r="D190" s="723"/>
      <c r="I190" s="1044"/>
      <c r="J190" s="765">
        <f>J188*J189</f>
        <v>23607357187.5</v>
      </c>
      <c r="K190" s="1044"/>
      <c r="L190" s="819"/>
      <c r="M190" s="1056"/>
      <c r="N190" s="95"/>
      <c r="O190" s="765"/>
      <c r="P190" s="837"/>
      <c r="Q190" s="822"/>
      <c r="R190" s="95"/>
      <c r="S190" s="765"/>
      <c r="T190" s="823"/>
      <c r="U190" s="827">
        <f>SUM(U179:U189)</f>
        <v>1.0000000000000002</v>
      </c>
      <c r="V190" s="765"/>
      <c r="W190" s="824"/>
      <c r="X190" s="765"/>
      <c r="Y190" s="765"/>
      <c r="Z190" s="1166"/>
      <c r="AA190" s="829" t="s">
        <v>1156</v>
      </c>
      <c r="AB190" s="830"/>
      <c r="AC190" s="831" t="s">
        <v>1137</v>
      </c>
      <c r="AD190" s="831" t="s">
        <v>1138</v>
      </c>
      <c r="AE190" s="831" t="s">
        <v>1139</v>
      </c>
      <c r="AF190" s="831" t="s">
        <v>1140</v>
      </c>
      <c r="AG190" s="831" t="s">
        <v>1141</v>
      </c>
      <c r="AH190" s="831" t="s">
        <v>148</v>
      </c>
      <c r="AI190" s="826"/>
      <c r="AJ190" s="727"/>
    </row>
    <row r="191" spans="2:36" ht="7.95" customHeight="1" x14ac:dyDescent="0.3">
      <c r="B191" s="722"/>
      <c r="C191" s="723"/>
      <c r="D191" s="723"/>
      <c r="I191" s="1044"/>
      <c r="J191" s="765"/>
      <c r="K191" s="1044"/>
      <c r="L191" s="724"/>
      <c r="M191" s="1052"/>
      <c r="N191" s="95"/>
      <c r="O191" s="765"/>
      <c r="P191" s="837"/>
      <c r="Q191" s="822"/>
      <c r="R191" s="95"/>
      <c r="S191" s="765"/>
      <c r="T191" s="823"/>
      <c r="U191" s="95"/>
      <c r="V191" s="765"/>
      <c r="W191" s="824"/>
      <c r="X191" s="765"/>
      <c r="Y191" s="765"/>
      <c r="Z191" s="1166"/>
      <c r="AA191" s="725"/>
      <c r="AI191" s="826"/>
      <c r="AJ191" s="727"/>
    </row>
    <row r="192" spans="2:36" ht="17.399999999999999" thickBot="1" x14ac:dyDescent="0.45">
      <c r="B192" s="722"/>
      <c r="C192" s="723"/>
      <c r="D192" s="723"/>
      <c r="I192" s="1044"/>
      <c r="J192" s="765">
        <f>J179</f>
        <v>21474836.48</v>
      </c>
      <c r="K192" s="1044"/>
      <c r="L192" s="724" t="s">
        <v>1199</v>
      </c>
      <c r="M192" s="1052">
        <f>Z192</f>
        <v>16</v>
      </c>
      <c r="N192" s="1176">
        <v>3.125E-2</v>
      </c>
      <c r="O192" s="765">
        <f>J192*N192</f>
        <v>671088.64000000001</v>
      </c>
      <c r="P192" s="837"/>
      <c r="Q192" s="822">
        <f>Q179</f>
        <v>16</v>
      </c>
      <c r="R192" s="95">
        <f>R179</f>
        <v>1</v>
      </c>
      <c r="S192" s="734">
        <f>O192*Q192*R192</f>
        <v>10737418.24</v>
      </c>
      <c r="T192" s="823" t="s">
        <v>1200</v>
      </c>
      <c r="U192" s="827">
        <v>1</v>
      </c>
      <c r="V192" s="765">
        <f t="shared" ref="V192" si="75">S192*U192</f>
        <v>10737418.24</v>
      </c>
      <c r="W192" s="824">
        <f>N192*U192</f>
        <v>3.125E-2</v>
      </c>
      <c r="X192" s="765" t="s">
        <v>1144</v>
      </c>
      <c r="Y192" s="836" t="s">
        <v>1199</v>
      </c>
      <c r="Z192" s="1166">
        <v>16</v>
      </c>
      <c r="AA192" s="725"/>
      <c r="AE192" s="690"/>
      <c r="AG192" s="695">
        <f>V192</f>
        <v>10737418.24</v>
      </c>
      <c r="AI192" s="826"/>
      <c r="AJ192" s="727"/>
    </row>
    <row r="193" spans="2:37" x14ac:dyDescent="0.3">
      <c r="B193" s="722"/>
      <c r="C193" s="723"/>
      <c r="D193" s="723"/>
      <c r="I193" s="1044"/>
      <c r="J193" s="765"/>
      <c r="K193" s="1044"/>
      <c r="L193" s="724"/>
      <c r="M193" s="1052"/>
      <c r="N193" s="95"/>
      <c r="O193" s="765"/>
      <c r="P193" s="837"/>
      <c r="Q193" s="822"/>
      <c r="R193" s="95"/>
      <c r="S193" s="765"/>
      <c r="T193" s="823"/>
      <c r="U193" s="95"/>
      <c r="V193" s="765"/>
      <c r="W193" s="824"/>
      <c r="X193" s="765"/>
      <c r="Y193" s="836"/>
      <c r="Z193" s="1166"/>
      <c r="AA193" s="725"/>
      <c r="AI193" s="826"/>
      <c r="AJ193" s="727"/>
    </row>
    <row r="194" spans="2:37" ht="17.399999999999999" thickBot="1" x14ac:dyDescent="0.45">
      <c r="B194" s="722"/>
      <c r="C194" s="723"/>
      <c r="D194" s="723"/>
      <c r="I194" s="1044"/>
      <c r="J194" s="765">
        <f>J192</f>
        <v>21474836.48</v>
      </c>
      <c r="K194" s="1044"/>
      <c r="L194" s="724" t="s">
        <v>1201</v>
      </c>
      <c r="M194" s="1052">
        <f>Z194</f>
        <v>16</v>
      </c>
      <c r="N194" s="1176">
        <v>3.125E-2</v>
      </c>
      <c r="O194" s="765">
        <f>J194*N194</f>
        <v>671088.64000000001</v>
      </c>
      <c r="P194" s="837"/>
      <c r="Q194" s="822">
        <f>Q192</f>
        <v>16</v>
      </c>
      <c r="R194" s="95">
        <f>R192</f>
        <v>1</v>
      </c>
      <c r="S194" s="734">
        <f>O194*Q194*R194</f>
        <v>10737418.24</v>
      </c>
      <c r="T194" s="823" t="s">
        <v>1202</v>
      </c>
      <c r="U194" s="827">
        <v>1</v>
      </c>
      <c r="V194" s="765">
        <f t="shared" ref="V194" si="76">S194*U194</f>
        <v>10737418.24</v>
      </c>
      <c r="W194" s="824">
        <f>N194*U194</f>
        <v>3.125E-2</v>
      </c>
      <c r="X194" s="765" t="s">
        <v>1144</v>
      </c>
      <c r="Y194" s="836" t="s">
        <v>1202</v>
      </c>
      <c r="Z194" s="1166">
        <v>16</v>
      </c>
      <c r="AA194" s="725"/>
      <c r="AC194" s="695">
        <f>V194</f>
        <v>10737418.24</v>
      </c>
      <c r="AE194" s="690"/>
      <c r="AG194" s="690"/>
      <c r="AI194" s="826"/>
      <c r="AJ194" s="727"/>
    </row>
    <row r="195" spans="2:37" x14ac:dyDescent="0.3">
      <c r="B195" s="722"/>
      <c r="C195" s="723"/>
      <c r="D195" s="723"/>
      <c r="I195" s="1044"/>
      <c r="J195" s="765"/>
      <c r="K195" s="1044"/>
      <c r="L195" s="724"/>
      <c r="M195" s="1052"/>
      <c r="N195" s="95"/>
      <c r="O195" s="765"/>
      <c r="P195" s="837"/>
      <c r="Q195" s="822"/>
      <c r="R195" s="95"/>
      <c r="S195" s="765"/>
      <c r="T195" s="823"/>
      <c r="U195" s="95"/>
      <c r="V195" s="765"/>
      <c r="W195" s="824"/>
      <c r="X195" s="765"/>
      <c r="Y195" s="836"/>
      <c r="Z195" s="1166"/>
      <c r="AA195" s="725"/>
      <c r="AI195" s="826"/>
      <c r="AJ195" s="727"/>
    </row>
    <row r="196" spans="2:37" ht="17.399999999999999" thickBot="1" x14ac:dyDescent="0.45">
      <c r="B196" s="722"/>
      <c r="C196" s="723"/>
      <c r="D196" s="723"/>
      <c r="I196" s="1044"/>
      <c r="J196" s="765">
        <f>J194</f>
        <v>21474836.48</v>
      </c>
      <c r="K196" s="1044"/>
      <c r="L196" s="724" t="s">
        <v>1203</v>
      </c>
      <c r="M196" s="1052">
        <f>Z196</f>
        <v>7</v>
      </c>
      <c r="N196" s="1172">
        <v>0.01</v>
      </c>
      <c r="O196" s="765">
        <f>J196*N196</f>
        <v>214748.36480000001</v>
      </c>
      <c r="P196" s="837"/>
      <c r="Q196" s="822">
        <f>Q194</f>
        <v>16</v>
      </c>
      <c r="R196" s="95">
        <f>R194</f>
        <v>1</v>
      </c>
      <c r="S196" s="734">
        <f>O196*Q196*R196</f>
        <v>3435973.8368000002</v>
      </c>
      <c r="T196" s="690" t="s">
        <v>1204</v>
      </c>
      <c r="U196" s="827">
        <v>1</v>
      </c>
      <c r="V196" s="765">
        <f t="shared" ref="V196" si="77">S196*U196</f>
        <v>3435973.8368000002</v>
      </c>
      <c r="W196" s="824">
        <f>N196*U196</f>
        <v>0.01</v>
      </c>
      <c r="X196" s="765" t="s">
        <v>1144</v>
      </c>
      <c r="Y196" s="690" t="s">
        <v>1051</v>
      </c>
      <c r="Z196" s="1166">
        <v>7</v>
      </c>
      <c r="AA196" s="725"/>
      <c r="AE196" s="695">
        <f>V196</f>
        <v>3435973.8368000002</v>
      </c>
      <c r="AI196" s="826"/>
      <c r="AJ196" s="727"/>
    </row>
    <row r="197" spans="2:37" x14ac:dyDescent="0.3">
      <c r="B197" s="722"/>
      <c r="C197" s="723"/>
      <c r="D197" s="723"/>
      <c r="I197" s="1044"/>
      <c r="J197" s="765"/>
      <c r="K197" s="1044"/>
      <c r="L197" s="724"/>
      <c r="M197" s="1052"/>
      <c r="N197" s="95"/>
      <c r="O197" s="765"/>
      <c r="P197" s="837"/>
      <c r="Q197" s="822"/>
      <c r="R197" s="95"/>
      <c r="S197" s="765"/>
      <c r="T197" s="823"/>
      <c r="U197" s="95"/>
      <c r="V197" s="765"/>
      <c r="W197" s="824"/>
      <c r="X197" s="765"/>
      <c r="Y197" s="836"/>
      <c r="Z197" s="1166"/>
      <c r="AA197" s="725"/>
      <c r="AI197" s="826"/>
      <c r="AJ197" s="727"/>
    </row>
    <row r="198" spans="2:37" ht="17.399999999999999" thickBot="1" x14ac:dyDescent="0.45">
      <c r="B198" s="722"/>
      <c r="C198" s="723"/>
      <c r="D198" s="723"/>
      <c r="I198" s="1044"/>
      <c r="J198" s="765">
        <f>J196</f>
        <v>21474836.48</v>
      </c>
      <c r="K198" s="1044"/>
      <c r="L198" s="724" t="s">
        <v>1205</v>
      </c>
      <c r="M198" s="1052">
        <f>Z198</f>
        <v>11</v>
      </c>
      <c r="N198" s="1172">
        <v>0.01</v>
      </c>
      <c r="O198" s="765">
        <f>J198*N198</f>
        <v>214748.36480000001</v>
      </c>
      <c r="P198" s="837"/>
      <c r="Q198" s="822">
        <f>Q196</f>
        <v>16</v>
      </c>
      <c r="R198" s="95">
        <f>R194</f>
        <v>1</v>
      </c>
      <c r="S198" s="734">
        <f>O198*Q198*R198</f>
        <v>3435973.8368000002</v>
      </c>
      <c r="T198" s="823" t="s">
        <v>763</v>
      </c>
      <c r="U198" s="827">
        <v>1</v>
      </c>
      <c r="V198" s="765">
        <f t="shared" ref="V198" si="78">S198*U198</f>
        <v>3435973.8368000002</v>
      </c>
      <c r="W198" s="824">
        <f>N198*U198</f>
        <v>0.01</v>
      </c>
      <c r="X198" s="765" t="s">
        <v>1144</v>
      </c>
      <c r="Y198" s="690" t="s">
        <v>1055</v>
      </c>
      <c r="Z198" s="1166">
        <v>11</v>
      </c>
      <c r="AA198" s="725"/>
      <c r="AC198" s="695">
        <f>V198</f>
        <v>3435973.8368000002</v>
      </c>
      <c r="AI198" s="826"/>
      <c r="AJ198" s="727"/>
    </row>
    <row r="199" spans="2:37" x14ac:dyDescent="0.3">
      <c r="B199" s="722"/>
      <c r="C199" s="723"/>
      <c r="D199" s="723"/>
      <c r="I199" s="1044"/>
      <c r="J199" s="765"/>
      <c r="K199" s="1044"/>
      <c r="L199" s="724"/>
      <c r="M199" s="1052"/>
      <c r="N199" s="95"/>
      <c r="O199" s="765"/>
      <c r="P199" s="837"/>
      <c r="Q199" s="822"/>
      <c r="R199" s="95"/>
      <c r="S199" s="765"/>
      <c r="T199" s="823"/>
      <c r="U199" s="95"/>
      <c r="V199" s="765"/>
      <c r="W199" s="824"/>
      <c r="X199" s="765"/>
      <c r="Y199" s="836"/>
      <c r="Z199" s="1166"/>
      <c r="AA199" s="725"/>
      <c r="AI199" s="826"/>
      <c r="AJ199" s="727"/>
    </row>
    <row r="200" spans="2:37" ht="17.399999999999999" thickBot="1" x14ac:dyDescent="0.45">
      <c r="J200" s="690">
        <f>J198</f>
        <v>21474836.48</v>
      </c>
      <c r="L200" s="724" t="s">
        <v>1206</v>
      </c>
      <c r="M200" s="1052">
        <f>Z200</f>
        <v>5</v>
      </c>
      <c r="N200" s="1172">
        <v>0</v>
      </c>
      <c r="O200" s="765">
        <f>J200*N200</f>
        <v>0</v>
      </c>
      <c r="P200" s="837"/>
      <c r="Q200" s="822">
        <f>Q198</f>
        <v>16</v>
      </c>
      <c r="R200" s="95">
        <f>R198</f>
        <v>1</v>
      </c>
      <c r="S200" s="734">
        <f>O200*Q200*R200</f>
        <v>0</v>
      </c>
      <c r="T200" s="823" t="s">
        <v>1207</v>
      </c>
      <c r="U200" s="827">
        <v>1</v>
      </c>
      <c r="V200" s="765">
        <f t="shared" ref="V200" si="79">S200*U200</f>
        <v>0</v>
      </c>
      <c r="W200" s="824">
        <f>N200*U200</f>
        <v>0</v>
      </c>
      <c r="X200" s="765" t="s">
        <v>1144</v>
      </c>
      <c r="Y200" s="825" t="s">
        <v>1197</v>
      </c>
      <c r="Z200" s="1166">
        <v>5</v>
      </c>
      <c r="AA200" s="725"/>
      <c r="AF200" s="695">
        <f>V200</f>
        <v>0</v>
      </c>
      <c r="AI200" s="826"/>
      <c r="AJ200" s="727"/>
    </row>
    <row r="201" spans="2:37" x14ac:dyDescent="0.3">
      <c r="B201" s="722"/>
      <c r="C201" s="723"/>
      <c r="D201" s="723"/>
      <c r="I201" s="1044"/>
      <c r="J201" s="765"/>
      <c r="K201" s="1044"/>
      <c r="L201" s="724"/>
      <c r="M201" s="1052"/>
      <c r="N201" s="95"/>
      <c r="O201" s="765"/>
      <c r="P201" s="837"/>
      <c r="Q201" s="822"/>
      <c r="R201" s="95"/>
      <c r="S201" s="765"/>
      <c r="T201" s="823"/>
      <c r="U201" s="95"/>
      <c r="V201" s="765"/>
      <c r="W201" s="824"/>
      <c r="X201" s="765"/>
      <c r="Y201" s="836"/>
      <c r="Z201" s="1166"/>
      <c r="AA201" s="725"/>
      <c r="AI201" s="826"/>
      <c r="AJ201" s="727"/>
    </row>
    <row r="202" spans="2:37" ht="17.399999999999999" thickBot="1" x14ac:dyDescent="0.45">
      <c r="B202" s="722"/>
      <c r="C202" s="723"/>
      <c r="D202" s="723"/>
      <c r="I202" s="1044"/>
      <c r="J202" s="765">
        <f>J200</f>
        <v>21474836.48</v>
      </c>
      <c r="K202" s="1044"/>
      <c r="L202" s="724" t="s">
        <v>1208</v>
      </c>
      <c r="M202" s="1052">
        <f>Z202</f>
        <v>32</v>
      </c>
      <c r="N202" s="1172">
        <v>7.4999999999999997E-3</v>
      </c>
      <c r="O202" s="765">
        <f>J202*N202</f>
        <v>161061.27359999999</v>
      </c>
      <c r="P202" s="837"/>
      <c r="Q202" s="822">
        <f>Q200</f>
        <v>16</v>
      </c>
      <c r="R202" s="95">
        <f>R200</f>
        <v>1</v>
      </c>
      <c r="S202" s="734">
        <f>O202*Q202*R202</f>
        <v>2576980.3775999998</v>
      </c>
      <c r="T202" s="823" t="s">
        <v>148</v>
      </c>
      <c r="U202" s="94">
        <v>1</v>
      </c>
      <c r="V202" s="765">
        <f t="shared" ref="V202" si="80">S202*U202</f>
        <v>2576980.3775999998</v>
      </c>
      <c r="W202" s="824">
        <f>N202*U202</f>
        <v>7.4999999999999997E-3</v>
      </c>
      <c r="X202" s="765" t="s">
        <v>1144</v>
      </c>
      <c r="Y202" s="765" t="s">
        <v>148</v>
      </c>
      <c r="Z202" s="1166">
        <v>32</v>
      </c>
      <c r="AA202" s="725"/>
      <c r="AF202" s="695">
        <f>V202</f>
        <v>2576980.3775999998</v>
      </c>
      <c r="AI202" s="826"/>
      <c r="AJ202" s="727"/>
    </row>
    <row r="203" spans="2:37" ht="16.8" x14ac:dyDescent="0.4">
      <c r="B203" s="722"/>
      <c r="C203" s="723"/>
      <c r="D203" s="723"/>
      <c r="I203" s="1044"/>
      <c r="J203" s="765"/>
      <c r="K203" s="1044"/>
      <c r="L203" s="724"/>
      <c r="M203" s="1052"/>
      <c r="N203" s="1174"/>
      <c r="O203" s="765"/>
      <c r="P203" s="837"/>
      <c r="Q203" s="822"/>
      <c r="R203" s="95"/>
      <c r="S203" s="734"/>
      <c r="T203" s="823"/>
      <c r="U203" s="95"/>
      <c r="V203" s="765"/>
      <c r="W203" s="824"/>
      <c r="X203" s="765"/>
      <c r="Y203" s="765"/>
      <c r="Z203" s="1166"/>
      <c r="AA203" s="725"/>
      <c r="AI203" s="826"/>
      <c r="AJ203" s="727"/>
    </row>
    <row r="204" spans="2:37" x14ac:dyDescent="0.3">
      <c r="B204" s="722"/>
      <c r="C204" s="723"/>
      <c r="D204" s="723"/>
      <c r="I204" s="1044"/>
      <c r="J204" s="765"/>
      <c r="K204" s="1044"/>
      <c r="L204" s="724"/>
      <c r="M204" s="1052"/>
      <c r="N204" s="95"/>
      <c r="O204" s="765"/>
      <c r="P204" s="837"/>
      <c r="Q204" s="837"/>
      <c r="R204" s="95"/>
      <c r="S204" s="765"/>
      <c r="T204" s="823"/>
      <c r="U204" s="95"/>
      <c r="V204" s="765"/>
      <c r="W204" s="824"/>
      <c r="X204" s="765"/>
      <c r="Y204" s="765"/>
      <c r="Z204" s="1166"/>
      <c r="AA204" s="829" t="s">
        <v>1156</v>
      </c>
      <c r="AB204" s="830"/>
      <c r="AC204" s="831" t="s">
        <v>1137</v>
      </c>
      <c r="AD204" s="831" t="s">
        <v>1138</v>
      </c>
      <c r="AE204" s="831" t="s">
        <v>1139</v>
      </c>
      <c r="AF204" s="831" t="s">
        <v>1140</v>
      </c>
      <c r="AG204" s="831" t="s">
        <v>1141</v>
      </c>
      <c r="AH204" s="831" t="s">
        <v>148</v>
      </c>
      <c r="AI204" s="826"/>
      <c r="AJ204" s="838" t="s">
        <v>1209</v>
      </c>
      <c r="AK204" s="839"/>
    </row>
    <row r="205" spans="2:37" ht="19.2" thickBot="1" x14ac:dyDescent="0.5">
      <c r="B205" s="722"/>
      <c r="C205" s="723"/>
      <c r="D205" s="723"/>
      <c r="I205" s="1044"/>
      <c r="J205" s="765"/>
      <c r="K205" s="1044"/>
      <c r="L205" s="724"/>
      <c r="M205" s="1052"/>
      <c r="N205" s="1494">
        <f>N115+N122+N142+N144+N126+N128+N132+N140+N146+N156+N158+N148+N150+N152+N154+N164+N167+N179+N160+N162+N192+N194+N196+N198+N200+N202</f>
        <v>0.99999999999999989</v>
      </c>
      <c r="O205" s="840">
        <f>SUM(O114:O204)</f>
        <v>21474836.48</v>
      </c>
      <c r="P205" s="837"/>
      <c r="Q205" s="837"/>
      <c r="R205" s="95"/>
      <c r="S205" s="841">
        <f>S115+S122+S142+S144+S126+S128+S132+S140+S146+S156+S158+S148+S150+S152+S154+S164+S167+S179+S160+S162+S192+S194+S196+S198+S200+S202</f>
        <v>343597383.67999995</v>
      </c>
      <c r="T205" s="823"/>
      <c r="U205" s="95"/>
      <c r="V205" s="840">
        <f>SUM(V114:V204)</f>
        <v>343597383.68000007</v>
      </c>
      <c r="W205" s="842">
        <f>SUM(W114:W204)</f>
        <v>1.0000000000000002</v>
      </c>
      <c r="X205" s="765"/>
      <c r="Y205" s="765"/>
      <c r="Z205" s="1166"/>
      <c r="AA205" s="725"/>
      <c r="AB205" s="690"/>
      <c r="AC205" s="843">
        <v>1</v>
      </c>
      <c r="AD205" s="843">
        <v>0.75</v>
      </c>
      <c r="AE205" s="843">
        <v>0.5</v>
      </c>
      <c r="AF205" s="843">
        <v>0.25</v>
      </c>
      <c r="AG205" s="843">
        <v>0</v>
      </c>
      <c r="AH205" s="843">
        <v>0.5</v>
      </c>
      <c r="AI205" s="826"/>
      <c r="AJ205" s="838"/>
      <c r="AK205" s="839"/>
    </row>
    <row r="206" spans="2:37" x14ac:dyDescent="0.3">
      <c r="B206" s="722"/>
      <c r="C206" s="723"/>
      <c r="D206" s="723"/>
      <c r="I206" s="1044"/>
      <c r="J206" s="765"/>
      <c r="K206" s="1044"/>
      <c r="L206" s="724"/>
      <c r="M206" s="1052"/>
      <c r="N206" s="95">
        <f>N115+N122+N126+N128+N132+N140+N142+N144+N146+N148+N150+N152+N154+N156+N158+N160+N162+N164+N167+N179+N192+N194+N196+N198+N200+N202</f>
        <v>0.99999999999999989</v>
      </c>
      <c r="O206" s="765"/>
      <c r="P206" s="837"/>
      <c r="Q206" s="837"/>
      <c r="R206" s="95"/>
      <c r="S206" s="765">
        <f>Q200</f>
        <v>16</v>
      </c>
      <c r="T206" s="823"/>
      <c r="U206" s="95"/>
      <c r="V206" s="765"/>
      <c r="W206" s="824"/>
      <c r="X206" s="765"/>
      <c r="Y206" s="765"/>
      <c r="Z206" s="1166"/>
      <c r="AA206" s="725" t="s">
        <v>1210</v>
      </c>
      <c r="AB206" s="691"/>
      <c r="AC206" s="844">
        <f t="shared" ref="AC206:AH206" si="81">SUM(AC115:AC204)</f>
        <v>138727443.66079998</v>
      </c>
      <c r="AD206" s="844">
        <f t="shared" si="81"/>
        <v>6871947.6736000003</v>
      </c>
      <c r="AE206" s="844">
        <f t="shared" si="81"/>
        <v>29119878.266880006</v>
      </c>
      <c r="AF206" s="844">
        <f t="shared" si="81"/>
        <v>13743895.347200001</v>
      </c>
      <c r="AG206" s="844">
        <f t="shared" si="81"/>
        <v>148262271.05792001</v>
      </c>
      <c r="AH206" s="844">
        <f t="shared" si="81"/>
        <v>4294967.2960000001</v>
      </c>
      <c r="AI206" s="826"/>
      <c r="AJ206" s="838" t="s">
        <v>1211</v>
      </c>
      <c r="AK206" s="839"/>
    </row>
    <row r="207" spans="2:37" x14ac:dyDescent="0.3">
      <c r="B207" s="722"/>
      <c r="C207" s="723"/>
      <c r="D207" s="723"/>
      <c r="L207" s="724" t="s">
        <v>1672</v>
      </c>
      <c r="M207" s="1052"/>
      <c r="N207" s="162">
        <f>N126+N128+N132+N160++N162</f>
        <v>4.4999999999999998E-2</v>
      </c>
      <c r="P207" s="845"/>
      <c r="Q207" s="845"/>
      <c r="S207" s="690">
        <f>S205/S206</f>
        <v>21474836.479999997</v>
      </c>
      <c r="Z207" s="1166"/>
      <c r="AA207" s="725" t="s">
        <v>1212</v>
      </c>
      <c r="AC207" s="695">
        <f>AC205*AC206</f>
        <v>138727443.66079998</v>
      </c>
      <c r="AD207" s="695">
        <f t="shared" ref="AD207:AH207" si="82">AD205*AD206</f>
        <v>5153960.7552000005</v>
      </c>
      <c r="AE207" s="695">
        <f t="shared" si="82"/>
        <v>14559939.133440003</v>
      </c>
      <c r="AF207" s="695">
        <f t="shared" si="82"/>
        <v>3435973.8368000002</v>
      </c>
      <c r="AG207" s="695">
        <f t="shared" si="82"/>
        <v>0</v>
      </c>
      <c r="AH207" s="695">
        <f t="shared" si="82"/>
        <v>2147483.648</v>
      </c>
      <c r="AI207" s="826">
        <f>SUM(AC207:AH207)</f>
        <v>164024801.03423998</v>
      </c>
      <c r="AJ207" s="838" t="s">
        <v>1213</v>
      </c>
      <c r="AK207" s="839"/>
    </row>
    <row r="208" spans="2:37" x14ac:dyDescent="0.3">
      <c r="J208" s="690">
        <f>J202</f>
        <v>21474836.48</v>
      </c>
      <c r="L208" s="724"/>
      <c r="M208" s="1052"/>
      <c r="P208" s="845"/>
      <c r="Q208" s="845"/>
      <c r="Z208" s="1166"/>
      <c r="AA208" s="725" t="s">
        <v>1214</v>
      </c>
      <c r="AI208" s="826">
        <f>G36</f>
        <v>16</v>
      </c>
      <c r="AJ208" s="838" t="s">
        <v>1215</v>
      </c>
      <c r="AK208" s="839"/>
    </row>
    <row r="209" spans="1:40" x14ac:dyDescent="0.3">
      <c r="L209" s="846"/>
      <c r="M209" s="1052"/>
      <c r="P209" s="845"/>
      <c r="Q209" s="845"/>
      <c r="Z209" s="1167"/>
      <c r="AA209" s="725" t="s">
        <v>1216</v>
      </c>
      <c r="AI209" s="847">
        <f>AI207/AI208</f>
        <v>10251550.064639999</v>
      </c>
      <c r="AJ209" s="838" t="s">
        <v>1217</v>
      </c>
      <c r="AK209" s="839"/>
    </row>
    <row r="210" spans="1:40" x14ac:dyDescent="0.3">
      <c r="L210" s="767"/>
      <c r="M210" s="1052"/>
      <c r="P210" s="845"/>
      <c r="Q210" s="845"/>
      <c r="Z210" s="1030"/>
      <c r="AA210" s="725" t="s">
        <v>1218</v>
      </c>
      <c r="AI210" s="847">
        <f>J114</f>
        <v>21474836.48</v>
      </c>
      <c r="AJ210" s="838" t="s">
        <v>1219</v>
      </c>
      <c r="AK210" s="839"/>
    </row>
    <row r="211" spans="1:40" x14ac:dyDescent="0.3">
      <c r="L211" s="767"/>
      <c r="M211" s="1052"/>
      <c r="P211" s="845"/>
      <c r="Q211" s="845"/>
      <c r="Z211" s="1030"/>
      <c r="AA211" s="725"/>
      <c r="AH211" s="695" t="s">
        <v>1499</v>
      </c>
      <c r="AI211" s="1267">
        <f>AI209/AI210</f>
        <v>0.47737499999999994</v>
      </c>
      <c r="AJ211" s="848" t="s">
        <v>1220</v>
      </c>
      <c r="AK211" s="849"/>
      <c r="AL211" s="1533">
        <f>AI211</f>
        <v>0.47737499999999994</v>
      </c>
    </row>
    <row r="212" spans="1:40" x14ac:dyDescent="0.3">
      <c r="L212" s="767"/>
      <c r="M212" s="1052"/>
      <c r="P212" s="845"/>
      <c r="Q212" s="845"/>
      <c r="Z212" s="1030"/>
      <c r="AA212" s="725"/>
      <c r="AI212" s="850" t="s">
        <v>1003</v>
      </c>
      <c r="AJ212" s="851"/>
      <c r="AK212" s="852"/>
      <c r="AL212" s="1532">
        <f>'The Sienna Equilibrium 1.06'!AI211</f>
        <v>0.66162500000000002</v>
      </c>
    </row>
    <row r="213" spans="1:40" x14ac:dyDescent="0.3">
      <c r="A213" s="854"/>
      <c r="B213" s="854"/>
      <c r="C213" s="854"/>
      <c r="D213" s="854"/>
      <c r="E213" s="1026"/>
      <c r="F213" s="854"/>
      <c r="G213" s="1036"/>
      <c r="H213" s="854"/>
      <c r="I213" s="1048"/>
      <c r="J213" s="854"/>
      <c r="K213" s="1048"/>
      <c r="L213" s="855"/>
      <c r="M213" s="1058"/>
      <c r="N213" s="856"/>
      <c r="O213" s="854"/>
      <c r="P213" s="854"/>
      <c r="Q213" s="854"/>
      <c r="R213" s="856"/>
      <c r="S213" s="854"/>
      <c r="T213" s="857"/>
      <c r="U213" s="856"/>
      <c r="V213" s="854"/>
      <c r="W213" s="858"/>
      <c r="X213" s="854"/>
      <c r="Y213" s="854"/>
      <c r="Z213" s="1036"/>
      <c r="AA213" s="859"/>
      <c r="AB213" s="860"/>
      <c r="AC213" s="861"/>
      <c r="AD213" s="861"/>
      <c r="AE213" s="861"/>
      <c r="AF213" s="861"/>
      <c r="AG213" s="861"/>
      <c r="AH213" s="861"/>
      <c r="AI213" s="862"/>
      <c r="AJ213" s="863"/>
      <c r="AL213" s="1534">
        <f>SUM(AL211:AL212)</f>
        <v>1.139</v>
      </c>
    </row>
    <row r="214" spans="1:40" x14ac:dyDescent="0.3">
      <c r="AJ214" s="727"/>
    </row>
    <row r="215" spans="1:40" x14ac:dyDescent="0.3">
      <c r="AI215" s="826"/>
      <c r="AJ215" s="727"/>
      <c r="AL215" s="938">
        <v>2</v>
      </c>
      <c r="AM215" s="690" t="s">
        <v>1710</v>
      </c>
    </row>
    <row r="216" spans="1:40" ht="16.2" thickBot="1" x14ac:dyDescent="0.35">
      <c r="AI216" s="826"/>
      <c r="AJ216" s="727"/>
      <c r="AL216" s="1535">
        <f>AL213/AL215</f>
        <v>0.56950000000000001</v>
      </c>
      <c r="AM216" s="1531">
        <v>16492674422.639999</v>
      </c>
      <c r="AN216" s="690">
        <f>AM216*AL216</f>
        <v>9392578083.6934795</v>
      </c>
    </row>
    <row r="217" spans="1:40" x14ac:dyDescent="0.3">
      <c r="AI217" s="826"/>
      <c r="AJ217" s="72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0695-8A66-4E30-91DF-1EF4489BF03F}">
  <dimension ref="B2:Z47"/>
  <sheetViews>
    <sheetView topLeftCell="I3" workbookViewId="0">
      <selection activeCell="T17" sqref="T17"/>
    </sheetView>
  </sheetViews>
  <sheetFormatPr defaultColWidth="8.88671875" defaultRowHeight="15.6" x14ac:dyDescent="0.3"/>
  <cols>
    <col min="1" max="1" width="8.88671875" style="1"/>
    <col min="2" max="2" width="11.5546875" style="1" bestFit="1" customWidth="1"/>
    <col min="3" max="3" width="11" style="938" bestFit="1" customWidth="1"/>
    <col min="4" max="4" width="17.44140625" style="1" bestFit="1" customWidth="1"/>
    <col min="5" max="5" width="12.33203125" style="1" bestFit="1" customWidth="1"/>
    <col min="6" max="6" width="6.33203125" style="1" customWidth="1"/>
    <col min="7" max="7" width="16.33203125" style="1" bestFit="1" customWidth="1"/>
    <col min="8" max="8" width="8.77734375" style="938" bestFit="1" customWidth="1"/>
    <col min="9" max="9" width="19.109375" style="1" bestFit="1" customWidth="1"/>
    <col min="10" max="10" width="14.109375" style="1" bestFit="1" customWidth="1"/>
    <col min="11" max="11" width="3.33203125" style="1" customWidth="1"/>
    <col min="12" max="12" width="15.33203125" style="1" bestFit="1" customWidth="1"/>
    <col min="13" max="13" width="9.44140625" style="1" bestFit="1" customWidth="1"/>
    <col min="14" max="15" width="14.109375" style="1" bestFit="1" customWidth="1"/>
    <col min="16" max="16" width="15.33203125" style="1" bestFit="1" customWidth="1"/>
    <col min="17" max="17" width="12.33203125" style="1" bestFit="1" customWidth="1"/>
    <col min="18" max="18" width="8.88671875" style="1"/>
    <col min="19" max="19" width="30" style="1" bestFit="1" customWidth="1"/>
    <col min="20" max="20" width="13.44140625" style="938" bestFit="1" customWidth="1"/>
    <col min="21" max="24" width="8.88671875" style="1"/>
    <col min="25" max="25" width="9.44140625" style="1" bestFit="1" customWidth="1"/>
    <col min="26" max="26" width="15.109375" style="1" bestFit="1" customWidth="1"/>
    <col min="27" max="16384" width="8.88671875" style="1"/>
  </cols>
  <sheetData>
    <row r="2" spans="3:26" x14ac:dyDescent="0.3">
      <c r="C2" s="938" t="s">
        <v>126</v>
      </c>
    </row>
    <row r="3" spans="3:26" x14ac:dyDescent="0.3">
      <c r="C3" s="938" t="s">
        <v>128</v>
      </c>
      <c r="Y3" s="1" t="s">
        <v>996</v>
      </c>
    </row>
    <row r="4" spans="3:26" x14ac:dyDescent="0.3">
      <c r="T4" s="938" t="s">
        <v>990</v>
      </c>
      <c r="Y4" s="1" t="s">
        <v>997</v>
      </c>
    </row>
    <row r="5" spans="3:26" x14ac:dyDescent="0.3">
      <c r="E5" s="1" t="s">
        <v>129</v>
      </c>
      <c r="L5" s="43">
        <f>L22</f>
        <v>1664000</v>
      </c>
      <c r="M5" s="1" t="s">
        <v>131</v>
      </c>
      <c r="U5" s="1" t="s">
        <v>991</v>
      </c>
      <c r="V5" s="1" t="s">
        <v>992</v>
      </c>
      <c r="W5" s="1" t="s">
        <v>993</v>
      </c>
      <c r="X5" s="1" t="s">
        <v>994</v>
      </c>
      <c r="Y5" s="1" t="s">
        <v>995</v>
      </c>
    </row>
    <row r="6" spans="3:26" x14ac:dyDescent="0.3">
      <c r="C6" s="938">
        <v>1</v>
      </c>
      <c r="D6" s="2">
        <v>25000000</v>
      </c>
      <c r="E6" s="42">
        <v>40000</v>
      </c>
      <c r="F6" s="42"/>
      <c r="G6" s="2">
        <v>2500000</v>
      </c>
      <c r="H6" s="938">
        <v>16</v>
      </c>
      <c r="I6" s="2">
        <f t="shared" ref="I6:I21" si="0">G6*H6</f>
        <v>40000000</v>
      </c>
      <c r="J6" s="42">
        <v>64000</v>
      </c>
      <c r="K6" s="42"/>
      <c r="L6" s="1">
        <v>4</v>
      </c>
      <c r="M6" s="1" t="s">
        <v>132</v>
      </c>
      <c r="O6" s="43">
        <f>L5*L6</f>
        <v>6656000</v>
      </c>
      <c r="Q6" s="43">
        <f>O6</f>
        <v>6656000</v>
      </c>
      <c r="U6" s="1">
        <v>256</v>
      </c>
      <c r="V6" s="1">
        <v>16</v>
      </c>
      <c r="W6" s="1">
        <v>4</v>
      </c>
      <c r="X6" s="1">
        <f>V6+W6</f>
        <v>20</v>
      </c>
    </row>
    <row r="7" spans="3:26" x14ac:dyDescent="0.3">
      <c r="C7" s="938">
        <f>C6+1</f>
        <v>2</v>
      </c>
      <c r="D7" s="2">
        <v>25000000</v>
      </c>
      <c r="E7" s="42">
        <f>E6</f>
        <v>40000</v>
      </c>
      <c r="F7" s="42"/>
      <c r="G7" s="2">
        <v>2500000</v>
      </c>
      <c r="H7" s="938">
        <v>16</v>
      </c>
      <c r="I7" s="2">
        <f t="shared" si="0"/>
        <v>40000000</v>
      </c>
      <c r="J7" s="42">
        <v>64000</v>
      </c>
      <c r="K7" s="42"/>
      <c r="L7" s="42">
        <v>18100000</v>
      </c>
      <c r="M7" s="1" t="s">
        <v>133</v>
      </c>
      <c r="U7" s="1">
        <f>U6</f>
        <v>256</v>
      </c>
      <c r="X7" s="1">
        <f>X6</f>
        <v>20</v>
      </c>
      <c r="Y7" s="2">
        <f>'POP Dimensions'!C10</f>
        <v>327.68</v>
      </c>
      <c r="Z7" s="2">
        <f>U7*X7*Y7</f>
        <v>1677721.6000000001</v>
      </c>
    </row>
    <row r="8" spans="3:26" x14ac:dyDescent="0.3">
      <c r="C8" s="938">
        <f t="shared" ref="C8:C21" si="1">C7+1</f>
        <v>3</v>
      </c>
      <c r="D8" s="2">
        <v>25000000</v>
      </c>
      <c r="E8" s="42">
        <f t="shared" ref="E8:E21" si="2">E7</f>
        <v>40000</v>
      </c>
      <c r="F8" s="42"/>
      <c r="G8" s="2">
        <v>2500000</v>
      </c>
      <c r="H8" s="938">
        <v>16</v>
      </c>
      <c r="I8" s="2">
        <f t="shared" si="0"/>
        <v>40000000</v>
      </c>
      <c r="J8" s="42">
        <v>64000</v>
      </c>
      <c r="K8" s="42"/>
      <c r="L8" s="18">
        <v>0.9</v>
      </c>
      <c r="M8" s="1" t="s">
        <v>134</v>
      </c>
    </row>
    <row r="9" spans="3:26" x14ac:dyDescent="0.3">
      <c r="C9" s="938">
        <f t="shared" si="1"/>
        <v>4</v>
      </c>
      <c r="D9" s="2">
        <v>25000000</v>
      </c>
      <c r="E9" s="42">
        <f t="shared" si="2"/>
        <v>40000</v>
      </c>
      <c r="F9" s="42"/>
      <c r="G9" s="2">
        <v>2500000</v>
      </c>
      <c r="H9" s="938">
        <v>16</v>
      </c>
      <c r="I9" s="2">
        <f t="shared" si="0"/>
        <v>40000000</v>
      </c>
      <c r="J9" s="42">
        <v>64000</v>
      </c>
      <c r="K9" s="42"/>
      <c r="L9" s="43">
        <f>L7*L8</f>
        <v>16290000</v>
      </c>
      <c r="O9" s="43">
        <f>L9</f>
        <v>16290000</v>
      </c>
      <c r="Q9" s="43">
        <f>O9</f>
        <v>16290000</v>
      </c>
    </row>
    <row r="10" spans="3:26" x14ac:dyDescent="0.3">
      <c r="C10" s="938">
        <f t="shared" si="1"/>
        <v>5</v>
      </c>
      <c r="D10" s="2">
        <v>25000000</v>
      </c>
      <c r="E10" s="42">
        <f t="shared" si="2"/>
        <v>40000</v>
      </c>
      <c r="F10" s="42"/>
      <c r="G10" s="2">
        <v>2500000</v>
      </c>
      <c r="H10" s="938">
        <v>16</v>
      </c>
      <c r="I10" s="2">
        <f t="shared" si="0"/>
        <v>40000000</v>
      </c>
      <c r="J10" s="42">
        <v>64000</v>
      </c>
      <c r="K10" s="42"/>
      <c r="O10" s="43">
        <f>O9-O6</f>
        <v>9634000</v>
      </c>
      <c r="Q10" s="32">
        <f>Q6/Q9</f>
        <v>0.40859422958870473</v>
      </c>
    </row>
    <row r="11" spans="3:26" ht="16.2" thickBot="1" x14ac:dyDescent="0.35">
      <c r="C11" s="938">
        <f t="shared" si="1"/>
        <v>6</v>
      </c>
      <c r="D11" s="2">
        <v>25000000</v>
      </c>
      <c r="E11" s="42">
        <f t="shared" si="2"/>
        <v>40000</v>
      </c>
      <c r="F11" s="42"/>
      <c r="G11" s="2">
        <v>2500000</v>
      </c>
      <c r="H11" s="938">
        <v>16</v>
      </c>
      <c r="I11" s="2">
        <f t="shared" si="0"/>
        <v>40000000</v>
      </c>
      <c r="J11" s="42">
        <v>64000</v>
      </c>
      <c r="K11" s="42"/>
    </row>
    <row r="12" spans="3:26" x14ac:dyDescent="0.3">
      <c r="C12" s="938">
        <f t="shared" si="1"/>
        <v>7</v>
      </c>
      <c r="D12" s="2">
        <v>25000000</v>
      </c>
      <c r="E12" s="42">
        <f t="shared" si="2"/>
        <v>40000</v>
      </c>
      <c r="F12" s="42"/>
      <c r="G12" s="2">
        <v>2500000</v>
      </c>
      <c r="H12" s="938">
        <v>16</v>
      </c>
      <c r="I12" s="2">
        <f t="shared" si="0"/>
        <v>40000000</v>
      </c>
      <c r="J12" s="42">
        <v>64000</v>
      </c>
      <c r="K12" s="42"/>
      <c r="L12" s="45"/>
      <c r="M12" s="46"/>
      <c r="N12" s="46" t="s">
        <v>129</v>
      </c>
      <c r="O12" s="46" t="s">
        <v>137</v>
      </c>
      <c r="P12" s="46" t="s">
        <v>138</v>
      </c>
      <c r="Q12" s="47"/>
      <c r="R12" s="7"/>
    </row>
    <row r="13" spans="3:26" x14ac:dyDescent="0.3">
      <c r="C13" s="938">
        <f t="shared" si="1"/>
        <v>8</v>
      </c>
      <c r="D13" s="2">
        <v>25000000</v>
      </c>
      <c r="E13" s="42">
        <f t="shared" si="2"/>
        <v>40000</v>
      </c>
      <c r="F13" s="42"/>
      <c r="G13" s="2">
        <v>2500000</v>
      </c>
      <c r="H13" s="938">
        <v>16</v>
      </c>
      <c r="I13" s="2">
        <f t="shared" si="0"/>
        <v>40000000</v>
      </c>
      <c r="J13" s="42">
        <v>64000</v>
      </c>
      <c r="K13" s="42"/>
      <c r="L13" s="48">
        <f>G6</f>
        <v>2500000</v>
      </c>
      <c r="M13" s="7" t="s">
        <v>136</v>
      </c>
      <c r="N13" s="7">
        <v>4000</v>
      </c>
      <c r="O13" s="7">
        <v>16000</v>
      </c>
      <c r="P13" s="7">
        <v>40000</v>
      </c>
      <c r="Q13" s="49"/>
      <c r="R13" s="7"/>
    </row>
    <row r="14" spans="3:26" x14ac:dyDescent="0.3">
      <c r="C14" s="938">
        <f t="shared" si="1"/>
        <v>9</v>
      </c>
      <c r="D14" s="2">
        <v>25000000</v>
      </c>
      <c r="E14" s="42">
        <f t="shared" si="2"/>
        <v>40000</v>
      </c>
      <c r="F14" s="42"/>
      <c r="G14" s="2">
        <v>2500000</v>
      </c>
      <c r="H14" s="938">
        <v>16</v>
      </c>
      <c r="I14" s="2">
        <f t="shared" si="0"/>
        <v>40000000</v>
      </c>
      <c r="J14" s="42">
        <v>64000</v>
      </c>
      <c r="K14" s="42"/>
      <c r="L14" s="50"/>
      <c r="M14" s="7"/>
      <c r="N14" s="7">
        <v>16</v>
      </c>
      <c r="O14" s="7">
        <v>16</v>
      </c>
      <c r="P14" s="7">
        <v>16</v>
      </c>
      <c r="Q14" s="49"/>
      <c r="R14" s="7"/>
    </row>
    <row r="15" spans="3:26" x14ac:dyDescent="0.3">
      <c r="C15" s="938">
        <f t="shared" si="1"/>
        <v>10</v>
      </c>
      <c r="D15" s="2">
        <v>25000000</v>
      </c>
      <c r="E15" s="42">
        <f t="shared" si="2"/>
        <v>40000</v>
      </c>
      <c r="F15" s="42"/>
      <c r="G15" s="2">
        <v>2500000</v>
      </c>
      <c r="H15" s="938">
        <v>16</v>
      </c>
      <c r="I15" s="2">
        <f t="shared" si="0"/>
        <v>40000000</v>
      </c>
      <c r="J15" s="42">
        <v>64000</v>
      </c>
      <c r="K15" s="42"/>
      <c r="L15" s="50"/>
      <c r="M15" s="7"/>
      <c r="N15" s="7">
        <f>N13*N14</f>
        <v>64000</v>
      </c>
      <c r="O15" s="7">
        <f t="shared" ref="O15:P15" si="3">O13*O14</f>
        <v>256000</v>
      </c>
      <c r="P15" s="7">
        <f t="shared" si="3"/>
        <v>640000</v>
      </c>
      <c r="Q15" s="49"/>
      <c r="R15" s="7"/>
      <c r="S15" s="1" t="s">
        <v>1668</v>
      </c>
      <c r="T15" s="938">
        <v>118484</v>
      </c>
      <c r="U15" s="1" t="s">
        <v>1667</v>
      </c>
    </row>
    <row r="16" spans="3:26" x14ac:dyDescent="0.3">
      <c r="C16" s="938">
        <f t="shared" si="1"/>
        <v>11</v>
      </c>
      <c r="D16" s="2">
        <v>25000000</v>
      </c>
      <c r="E16" s="42">
        <f t="shared" si="2"/>
        <v>40000</v>
      </c>
      <c r="F16" s="42"/>
      <c r="G16" s="2">
        <v>2500000</v>
      </c>
      <c r="H16" s="938">
        <v>16</v>
      </c>
      <c r="I16" s="2">
        <f t="shared" si="0"/>
        <v>40000000</v>
      </c>
      <c r="J16" s="42">
        <v>64000</v>
      </c>
      <c r="K16" s="42"/>
      <c r="L16" s="50"/>
      <c r="M16" s="7"/>
      <c r="N16" s="7">
        <v>16</v>
      </c>
      <c r="O16" s="7">
        <v>16</v>
      </c>
      <c r="P16" s="7">
        <v>16</v>
      </c>
      <c r="Q16" s="49"/>
      <c r="R16" s="7"/>
      <c r="S16" s="1" t="s">
        <v>1669</v>
      </c>
      <c r="T16" s="938">
        <f>T15/2</f>
        <v>59242</v>
      </c>
    </row>
    <row r="17" spans="2:20" ht="16.2" thickBot="1" x14ac:dyDescent="0.35">
      <c r="C17" s="938">
        <f t="shared" si="1"/>
        <v>12</v>
      </c>
      <c r="D17" s="2">
        <v>25000000</v>
      </c>
      <c r="E17" s="42">
        <f t="shared" si="2"/>
        <v>40000</v>
      </c>
      <c r="F17" s="42"/>
      <c r="G17" s="2">
        <v>2500000</v>
      </c>
      <c r="H17" s="938">
        <v>16</v>
      </c>
      <c r="I17" s="2">
        <f t="shared" si="0"/>
        <v>40000000</v>
      </c>
      <c r="J17" s="42">
        <v>64000</v>
      </c>
      <c r="K17" s="42"/>
      <c r="L17" s="50"/>
      <c r="M17" s="7"/>
      <c r="N17" s="54">
        <f>N15*N16</f>
        <v>1024000</v>
      </c>
      <c r="O17" s="54">
        <f t="shared" ref="O17" si="4">O15*O16</f>
        <v>4096000</v>
      </c>
      <c r="P17" s="54">
        <f t="shared" ref="P17" si="5">P15*P16</f>
        <v>10240000</v>
      </c>
      <c r="Q17" s="49"/>
      <c r="R17" s="7"/>
      <c r="S17" s="938">
        <v>256</v>
      </c>
      <c r="T17" s="938">
        <f>T16/S17</f>
        <v>231.4140625</v>
      </c>
    </row>
    <row r="18" spans="2:20" x14ac:dyDescent="0.3">
      <c r="C18" s="938">
        <f t="shared" si="1"/>
        <v>13</v>
      </c>
      <c r="D18" s="2">
        <v>25000000</v>
      </c>
      <c r="E18" s="42">
        <f t="shared" si="2"/>
        <v>40000</v>
      </c>
      <c r="F18" s="42"/>
      <c r="G18" s="2">
        <v>2500000</v>
      </c>
      <c r="H18" s="938">
        <v>16</v>
      </c>
      <c r="I18" s="2">
        <f t="shared" si="0"/>
        <v>40000000</v>
      </c>
      <c r="J18" s="42">
        <v>64000</v>
      </c>
      <c r="K18" s="42"/>
      <c r="L18" s="50" t="s">
        <v>139</v>
      </c>
      <c r="M18" s="7"/>
      <c r="N18" s="44">
        <f>E22</f>
        <v>640000</v>
      </c>
      <c r="O18" s="44">
        <f>N18*4</f>
        <v>2560000</v>
      </c>
      <c r="P18" s="44">
        <f>N18*10</f>
        <v>6400000</v>
      </c>
      <c r="Q18" s="49"/>
      <c r="R18" s="7"/>
    </row>
    <row r="19" spans="2:20" ht="16.2" thickBot="1" x14ac:dyDescent="0.35">
      <c r="C19" s="938">
        <f t="shared" si="1"/>
        <v>14</v>
      </c>
      <c r="D19" s="2">
        <v>25000000</v>
      </c>
      <c r="E19" s="42">
        <f t="shared" si="2"/>
        <v>40000</v>
      </c>
      <c r="F19" s="42"/>
      <c r="G19" s="2">
        <v>2500000</v>
      </c>
      <c r="H19" s="938">
        <v>16</v>
      </c>
      <c r="I19" s="2">
        <f t="shared" si="0"/>
        <v>40000000</v>
      </c>
      <c r="J19" s="42">
        <v>64000</v>
      </c>
      <c r="K19" s="42"/>
      <c r="L19" s="50"/>
      <c r="M19" s="7"/>
      <c r="N19" s="486">
        <f>SUM(N17:N18)</f>
        <v>1664000</v>
      </c>
      <c r="O19" s="486">
        <f t="shared" ref="O19:P19" si="6">SUM(O17:O18)</f>
        <v>6656000</v>
      </c>
      <c r="P19" s="486">
        <f t="shared" si="6"/>
        <v>16640000</v>
      </c>
      <c r="Q19" s="49"/>
      <c r="R19" s="7"/>
    </row>
    <row r="20" spans="2:20" ht="16.2" thickTop="1" x14ac:dyDescent="0.3">
      <c r="C20" s="938">
        <f t="shared" si="1"/>
        <v>15</v>
      </c>
      <c r="D20" s="2">
        <v>25000000</v>
      </c>
      <c r="E20" s="42">
        <f t="shared" si="2"/>
        <v>40000</v>
      </c>
      <c r="F20" s="42"/>
      <c r="G20" s="2">
        <v>2500000</v>
      </c>
      <c r="H20" s="938">
        <v>16</v>
      </c>
      <c r="I20" s="2">
        <f t="shared" si="0"/>
        <v>40000000</v>
      </c>
      <c r="J20" s="42">
        <v>64000</v>
      </c>
      <c r="K20" s="42"/>
      <c r="L20" s="50"/>
      <c r="M20" s="7"/>
      <c r="N20" s="7"/>
      <c r="O20" s="7"/>
      <c r="P20" s="7"/>
      <c r="Q20" s="49"/>
    </row>
    <row r="21" spans="2:20" ht="16.2" thickBot="1" x14ac:dyDescent="0.35">
      <c r="C21" s="938">
        <f t="shared" si="1"/>
        <v>16</v>
      </c>
      <c r="D21" s="2">
        <v>25000000</v>
      </c>
      <c r="E21" s="42">
        <f t="shared" si="2"/>
        <v>40000</v>
      </c>
      <c r="F21" s="42"/>
      <c r="G21" s="2">
        <v>2500000</v>
      </c>
      <c r="H21" s="938">
        <v>16</v>
      </c>
      <c r="I21" s="2">
        <f t="shared" si="0"/>
        <v>40000000</v>
      </c>
      <c r="J21" s="42">
        <v>64000</v>
      </c>
      <c r="K21" s="42"/>
      <c r="L21" s="51"/>
      <c r="M21" s="52"/>
      <c r="N21" s="52"/>
      <c r="O21" s="52"/>
      <c r="P21" s="52"/>
      <c r="Q21" s="53"/>
    </row>
    <row r="22" spans="2:20" x14ac:dyDescent="0.3">
      <c r="D22" s="2">
        <f>SUM(D6:D21)</f>
        <v>400000000</v>
      </c>
      <c r="E22" s="43">
        <f>SUM(E6:E21)</f>
        <v>640000</v>
      </c>
      <c r="F22" s="43"/>
      <c r="G22" s="2">
        <f>SUM(G6:G21)</f>
        <v>40000000</v>
      </c>
      <c r="H22" s="938">
        <v>16</v>
      </c>
      <c r="I22" s="2">
        <f>SUM(I6:I21)</f>
        <v>640000000</v>
      </c>
      <c r="J22" s="42">
        <f>SUM(J6:J21)</f>
        <v>1024000</v>
      </c>
      <c r="K22" s="42"/>
      <c r="L22" s="43">
        <f>E22+J22</f>
        <v>1664000</v>
      </c>
      <c r="M22" s="1" t="s">
        <v>130</v>
      </c>
    </row>
    <row r="23" spans="2:20" x14ac:dyDescent="0.3">
      <c r="C23" s="940" t="s">
        <v>135</v>
      </c>
      <c r="E23" s="938">
        <v>4</v>
      </c>
      <c r="I23" s="2"/>
      <c r="J23" s="938">
        <v>4</v>
      </c>
    </row>
    <row r="24" spans="2:20" x14ac:dyDescent="0.3">
      <c r="C24" s="938">
        <v>16</v>
      </c>
      <c r="E24" s="43">
        <f>E22*E23</f>
        <v>2560000</v>
      </c>
      <c r="F24" s="43"/>
      <c r="H24" s="938">
        <v>256</v>
      </c>
      <c r="I24" s="2">
        <f>D22+I22</f>
        <v>1040000000</v>
      </c>
      <c r="J24" s="43">
        <f>J22*J23</f>
        <v>4096000</v>
      </c>
      <c r="K24" s="43"/>
      <c r="M24" s="938">
        <f>C24+H24</f>
        <v>272</v>
      </c>
      <c r="N24" s="1" t="s">
        <v>1314</v>
      </c>
    </row>
    <row r="26" spans="2:20" x14ac:dyDescent="0.3">
      <c r="C26" s="944" t="s">
        <v>112</v>
      </c>
    </row>
    <row r="27" spans="2:20" x14ac:dyDescent="0.3">
      <c r="C27" s="938" t="s">
        <v>127</v>
      </c>
    </row>
    <row r="29" spans="2:20" x14ac:dyDescent="0.3">
      <c r="C29" s="938" t="s">
        <v>119</v>
      </c>
    </row>
    <row r="30" spans="2:20" x14ac:dyDescent="0.3">
      <c r="B30" s="1" t="s">
        <v>113</v>
      </c>
      <c r="C30" s="938" t="s">
        <v>109</v>
      </c>
    </row>
    <row r="31" spans="2:20" x14ac:dyDescent="0.3">
      <c r="C31" s="938">
        <v>3500</v>
      </c>
    </row>
    <row r="32" spans="2:20" x14ac:dyDescent="0.3">
      <c r="B32" s="1" t="s">
        <v>114</v>
      </c>
      <c r="C32" s="938">
        <v>220000000</v>
      </c>
    </row>
    <row r="33" spans="3:4" x14ac:dyDescent="0.3">
      <c r="C33" s="938">
        <f>C32/C31</f>
        <v>62857.142857142855</v>
      </c>
      <c r="D33" s="1" t="s">
        <v>115</v>
      </c>
    </row>
    <row r="34" spans="3:4" x14ac:dyDescent="0.3">
      <c r="C34" s="938" t="s">
        <v>116</v>
      </c>
    </row>
    <row r="36" spans="3:4" x14ac:dyDescent="0.3">
      <c r="C36" s="938" t="s">
        <v>118</v>
      </c>
    </row>
    <row r="37" spans="3:4" x14ac:dyDescent="0.3">
      <c r="C37" s="938" t="s">
        <v>117</v>
      </c>
    </row>
    <row r="38" spans="3:4" x14ac:dyDescent="0.3">
      <c r="C38" s="938" t="s">
        <v>120</v>
      </c>
    </row>
    <row r="39" spans="3:4" x14ac:dyDescent="0.3">
      <c r="C39" s="938" t="s">
        <v>121</v>
      </c>
    </row>
    <row r="41" spans="3:4" x14ac:dyDescent="0.3">
      <c r="C41" s="938" t="s">
        <v>123</v>
      </c>
    </row>
    <row r="42" spans="3:4" x14ac:dyDescent="0.3">
      <c r="C42" s="938" t="s">
        <v>122</v>
      </c>
    </row>
    <row r="43" spans="3:4" x14ac:dyDescent="0.3">
      <c r="C43" s="938" t="s">
        <v>124</v>
      </c>
    </row>
    <row r="44" spans="3:4" x14ac:dyDescent="0.3">
      <c r="C44" s="944" t="s">
        <v>125</v>
      </c>
    </row>
    <row r="45" spans="3:4" x14ac:dyDescent="0.3">
      <c r="C45" s="944"/>
    </row>
    <row r="46" spans="3:4" x14ac:dyDescent="0.3">
      <c r="C46" s="938" t="s">
        <v>110</v>
      </c>
    </row>
    <row r="47" spans="3:4" x14ac:dyDescent="0.3">
      <c r="C47" s="938" t="s">
        <v>111</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X36"/>
  <sheetViews>
    <sheetView topLeftCell="B11" workbookViewId="0">
      <selection activeCell="C12" sqref="C12"/>
    </sheetView>
  </sheetViews>
  <sheetFormatPr defaultColWidth="8.88671875" defaultRowHeight="15.6" x14ac:dyDescent="0.3"/>
  <cols>
    <col min="1" max="2" width="8.88671875" style="1"/>
    <col min="3" max="3" width="28.33203125" style="1" bestFit="1" customWidth="1"/>
    <col min="4" max="4" width="9" style="1" hidden="1" customWidth="1"/>
    <col min="5" max="5" width="8.88671875" style="12"/>
    <col min="6" max="6" width="55.88671875" style="1" customWidth="1"/>
    <col min="7" max="7" width="8.88671875" style="1"/>
    <col min="8" max="8" width="27.109375" style="1" bestFit="1" customWidth="1"/>
    <col min="9" max="9" width="8.88671875" style="1"/>
    <col min="10" max="10" width="27.109375" style="1" bestFit="1" customWidth="1"/>
    <col min="11" max="11" width="8.88671875" style="1"/>
    <col min="12" max="12" width="27.109375" style="1" bestFit="1" customWidth="1"/>
    <col min="13" max="13" width="8.88671875" style="1"/>
    <col min="14" max="14" width="27.109375" style="1" bestFit="1" customWidth="1"/>
    <col min="15" max="17" width="8.88671875" style="1"/>
    <col min="18" max="18" width="9.88671875" style="938" bestFit="1" customWidth="1"/>
    <col min="19" max="20" width="8.88671875" style="938"/>
    <col min="21" max="21" width="11.109375" style="938" bestFit="1" customWidth="1"/>
    <col min="22" max="24" width="8.88671875" style="938"/>
    <col min="25" max="16384" width="8.88671875" style="1"/>
  </cols>
  <sheetData>
    <row r="2" spans="2:21" x14ac:dyDescent="0.3">
      <c r="B2" s="1" t="s">
        <v>31</v>
      </c>
    </row>
    <row r="4" spans="2:21" x14ac:dyDescent="0.3">
      <c r="C4" s="13" t="s">
        <v>14</v>
      </c>
      <c r="D4" s="4"/>
      <c r="E4" s="14"/>
      <c r="F4" s="5"/>
      <c r="R4" s="938">
        <v>1</v>
      </c>
      <c r="S4" s="938">
        <v>8</v>
      </c>
    </row>
    <row r="5" spans="2:21" x14ac:dyDescent="0.3">
      <c r="C5" s="6">
        <v>0.01</v>
      </c>
      <c r="D5" s="7">
        <v>8</v>
      </c>
      <c r="E5" s="15"/>
      <c r="F5" s="8"/>
      <c r="R5" s="938">
        <f>R4*S4</f>
        <v>8</v>
      </c>
      <c r="S5" s="938">
        <v>8</v>
      </c>
    </row>
    <row r="6" spans="2:21" x14ac:dyDescent="0.3">
      <c r="C6" s="6">
        <f>C5*D5</f>
        <v>0.08</v>
      </c>
      <c r="D6" s="7">
        <v>8</v>
      </c>
      <c r="E6" s="15"/>
      <c r="F6" s="8"/>
      <c r="R6" s="938">
        <f>R5*S5</f>
        <v>64</v>
      </c>
      <c r="S6" s="938">
        <v>8</v>
      </c>
    </row>
    <row r="7" spans="2:21" x14ac:dyDescent="0.3">
      <c r="C7" s="6">
        <f t="shared" ref="C7:C21" si="0">C6*D6</f>
        <v>0.64</v>
      </c>
      <c r="D7" s="7">
        <v>8</v>
      </c>
      <c r="E7" s="15"/>
      <c r="F7" s="8"/>
      <c r="J7" s="2">
        <f>J17*12.5%</f>
        <v>171798691.84</v>
      </c>
      <c r="R7" s="938">
        <f t="shared" ref="R7:R12" si="1">R6*S6</f>
        <v>512</v>
      </c>
      <c r="S7" s="938">
        <v>8</v>
      </c>
    </row>
    <row r="8" spans="2:21" x14ac:dyDescent="0.3">
      <c r="C8" s="6">
        <f t="shared" si="0"/>
        <v>5.12</v>
      </c>
      <c r="D8" s="7">
        <v>8</v>
      </c>
      <c r="E8" s="15"/>
      <c r="F8" s="8"/>
      <c r="R8" s="938">
        <f t="shared" si="1"/>
        <v>4096</v>
      </c>
      <c r="S8" s="938">
        <v>8</v>
      </c>
      <c r="U8" s="938">
        <f>R8/2</f>
        <v>2048</v>
      </c>
    </row>
    <row r="9" spans="2:21" x14ac:dyDescent="0.3">
      <c r="C9" s="6">
        <f t="shared" si="0"/>
        <v>40.96</v>
      </c>
      <c r="D9" s="7">
        <v>8</v>
      </c>
      <c r="E9" s="15"/>
      <c r="F9" s="8"/>
      <c r="R9" s="938">
        <f t="shared" si="1"/>
        <v>32768</v>
      </c>
      <c r="S9" s="938">
        <v>8</v>
      </c>
      <c r="U9" s="938">
        <f>R8</f>
        <v>4096</v>
      </c>
    </row>
    <row r="10" spans="2:21" x14ac:dyDescent="0.3">
      <c r="C10" s="3">
        <f t="shared" si="0"/>
        <v>327.68</v>
      </c>
      <c r="D10" s="4">
        <v>8</v>
      </c>
      <c r="E10" s="14" t="s">
        <v>0</v>
      </c>
      <c r="F10" s="5" t="s">
        <v>18</v>
      </c>
      <c r="H10" s="2">
        <f t="shared" ref="H10:H16" si="2">C10</f>
        <v>327.68</v>
      </c>
      <c r="I10" s="18">
        <v>2</v>
      </c>
      <c r="J10" s="2">
        <f t="shared" ref="J10:L16" si="3">H10*I10</f>
        <v>655.36</v>
      </c>
      <c r="K10" s="18">
        <v>2</v>
      </c>
      <c r="L10" s="2">
        <f t="shared" si="3"/>
        <v>1310.72</v>
      </c>
      <c r="M10" s="18">
        <v>2</v>
      </c>
      <c r="N10" s="2">
        <f t="shared" ref="N10:N24" si="4">L10*M10</f>
        <v>2621.44</v>
      </c>
      <c r="R10" s="938">
        <f t="shared" si="1"/>
        <v>262144</v>
      </c>
      <c r="S10" s="938">
        <v>8</v>
      </c>
      <c r="U10" s="938">
        <f>U8*U9</f>
        <v>8388608</v>
      </c>
    </row>
    <row r="11" spans="2:21" x14ac:dyDescent="0.3">
      <c r="C11" s="6">
        <f t="shared" si="0"/>
        <v>2621.44</v>
      </c>
      <c r="D11" s="7">
        <v>8</v>
      </c>
      <c r="E11" s="15" t="s">
        <v>1</v>
      </c>
      <c r="F11" s="8" t="s">
        <v>19</v>
      </c>
      <c r="H11" s="2">
        <f t="shared" si="2"/>
        <v>2621.44</v>
      </c>
      <c r="I11" s="18">
        <v>2</v>
      </c>
      <c r="J11" s="2">
        <f t="shared" si="3"/>
        <v>5242.88</v>
      </c>
      <c r="K11" s="18">
        <v>2</v>
      </c>
      <c r="L11" s="2">
        <f t="shared" si="3"/>
        <v>10485.76</v>
      </c>
      <c r="M11" s="18">
        <v>2</v>
      </c>
      <c r="N11" s="2">
        <f t="shared" si="4"/>
        <v>20971.52</v>
      </c>
      <c r="R11" s="938">
        <f t="shared" si="1"/>
        <v>2097152</v>
      </c>
      <c r="S11" s="938">
        <v>8</v>
      </c>
    </row>
    <row r="12" spans="2:21" x14ac:dyDescent="0.3">
      <c r="C12" s="6">
        <f t="shared" si="0"/>
        <v>20971.52</v>
      </c>
      <c r="D12" s="7">
        <v>8</v>
      </c>
      <c r="E12" s="15" t="s">
        <v>2</v>
      </c>
      <c r="F12" s="8" t="s">
        <v>13</v>
      </c>
      <c r="H12" s="2">
        <f t="shared" si="2"/>
        <v>20971.52</v>
      </c>
      <c r="I12" s="18">
        <v>2</v>
      </c>
      <c r="J12" s="2">
        <f t="shared" si="3"/>
        <v>41943.040000000001</v>
      </c>
      <c r="K12" s="18">
        <v>2</v>
      </c>
      <c r="L12" s="2">
        <f t="shared" si="3"/>
        <v>83886.080000000002</v>
      </c>
      <c r="M12" s="18">
        <v>2</v>
      </c>
      <c r="N12" s="2">
        <f t="shared" si="4"/>
        <v>167772.16</v>
      </c>
      <c r="R12" s="938">
        <f t="shared" si="1"/>
        <v>16777216</v>
      </c>
      <c r="S12" s="938">
        <v>8</v>
      </c>
    </row>
    <row r="13" spans="2:21" x14ac:dyDescent="0.3">
      <c r="C13" s="6">
        <f t="shared" si="0"/>
        <v>167772.16</v>
      </c>
      <c r="D13" s="7">
        <v>8</v>
      </c>
      <c r="E13" s="15" t="s">
        <v>3</v>
      </c>
      <c r="F13" s="8" t="s">
        <v>24</v>
      </c>
      <c r="H13" s="2">
        <f t="shared" si="2"/>
        <v>167772.16</v>
      </c>
      <c r="I13" s="18">
        <v>2</v>
      </c>
      <c r="J13" s="2">
        <f t="shared" si="3"/>
        <v>335544.32000000001</v>
      </c>
      <c r="K13" s="18">
        <v>2</v>
      </c>
      <c r="L13" s="2">
        <f t="shared" si="3"/>
        <v>671088.64000000001</v>
      </c>
      <c r="M13" s="18">
        <v>2</v>
      </c>
      <c r="N13" s="2">
        <f t="shared" si="4"/>
        <v>1342177.28</v>
      </c>
    </row>
    <row r="14" spans="2:21" x14ac:dyDescent="0.3">
      <c r="C14" s="6">
        <f t="shared" si="0"/>
        <v>1342177.28</v>
      </c>
      <c r="D14" s="7">
        <v>8</v>
      </c>
      <c r="E14" s="15" t="s">
        <v>4</v>
      </c>
      <c r="F14" s="8" t="s">
        <v>23</v>
      </c>
      <c r="G14" s="18"/>
      <c r="H14" s="2">
        <f t="shared" si="2"/>
        <v>1342177.28</v>
      </c>
      <c r="I14" s="18">
        <v>2</v>
      </c>
      <c r="J14" s="2">
        <f t="shared" si="3"/>
        <v>2684354.5600000001</v>
      </c>
      <c r="K14" s="18">
        <v>2</v>
      </c>
      <c r="L14" s="2">
        <f t="shared" si="3"/>
        <v>5368709.1200000001</v>
      </c>
      <c r="M14" s="18">
        <v>2</v>
      </c>
      <c r="N14" s="2">
        <f t="shared" si="4"/>
        <v>10737418.24</v>
      </c>
    </row>
    <row r="15" spans="2:21" x14ac:dyDescent="0.3">
      <c r="C15" s="866">
        <f t="shared" si="0"/>
        <v>10737418.24</v>
      </c>
      <c r="D15" s="867">
        <v>8</v>
      </c>
      <c r="E15" s="868" t="s">
        <v>5</v>
      </c>
      <c r="F15" s="869" t="s">
        <v>22</v>
      </c>
      <c r="G15" s="71"/>
      <c r="H15" s="70">
        <f t="shared" si="2"/>
        <v>10737418.24</v>
      </c>
      <c r="I15" s="479">
        <v>2</v>
      </c>
      <c r="J15" s="78">
        <f t="shared" si="3"/>
        <v>21474836.48</v>
      </c>
      <c r="K15" s="479">
        <v>2</v>
      </c>
      <c r="L15" s="70">
        <f t="shared" si="3"/>
        <v>42949672.960000001</v>
      </c>
      <c r="M15" s="479">
        <v>2</v>
      </c>
      <c r="N15" s="70">
        <f t="shared" si="4"/>
        <v>85899345.920000002</v>
      </c>
    </row>
    <row r="16" spans="2:21" x14ac:dyDescent="0.3">
      <c r="B16" s="18"/>
      <c r="C16" s="6">
        <f t="shared" si="0"/>
        <v>85899345.920000002</v>
      </c>
      <c r="D16" s="7">
        <v>8</v>
      </c>
      <c r="E16" s="15" t="s">
        <v>6</v>
      </c>
      <c r="F16" s="8" t="s">
        <v>11</v>
      </c>
      <c r="H16" s="2">
        <f t="shared" si="2"/>
        <v>85899345.920000002</v>
      </c>
      <c r="I16" s="18">
        <v>2</v>
      </c>
      <c r="J16" s="2">
        <f t="shared" si="3"/>
        <v>171798691.84</v>
      </c>
      <c r="K16" s="18">
        <v>2</v>
      </c>
      <c r="L16" s="2">
        <f t="shared" si="3"/>
        <v>343597383.68000001</v>
      </c>
      <c r="M16" s="18">
        <v>2</v>
      </c>
      <c r="N16" s="2">
        <f t="shared" si="4"/>
        <v>687194767.36000001</v>
      </c>
    </row>
    <row r="17" spans="3:14" x14ac:dyDescent="0.3">
      <c r="C17" s="474">
        <f t="shared" si="0"/>
        <v>687194767.36000001</v>
      </c>
      <c r="D17" s="475">
        <v>8</v>
      </c>
      <c r="E17" s="476" t="s">
        <v>7</v>
      </c>
      <c r="F17" s="477" t="s">
        <v>12</v>
      </c>
      <c r="G17" s="237"/>
      <c r="H17" s="343">
        <f>C17</f>
        <v>687194767.36000001</v>
      </c>
      <c r="I17" s="478">
        <v>2</v>
      </c>
      <c r="J17" s="79">
        <f>H17*I17</f>
        <v>1374389534.72</v>
      </c>
      <c r="K17" s="478">
        <v>2</v>
      </c>
      <c r="L17" s="79">
        <f>J17*K17</f>
        <v>2748779069.4400001</v>
      </c>
      <c r="M17" s="478">
        <v>2</v>
      </c>
      <c r="N17" s="343">
        <f t="shared" si="4"/>
        <v>5497558138.8800001</v>
      </c>
    </row>
    <row r="18" spans="3:14" x14ac:dyDescent="0.3">
      <c r="C18" s="6">
        <f t="shared" si="0"/>
        <v>5497558138.8800001</v>
      </c>
      <c r="D18" s="7">
        <v>8</v>
      </c>
      <c r="E18" s="15" t="s">
        <v>8</v>
      </c>
      <c r="F18" s="8" t="s">
        <v>21</v>
      </c>
      <c r="H18" s="2">
        <f t="shared" ref="H18:H24" si="5">C18</f>
        <v>5497558138.8800001</v>
      </c>
      <c r="I18" s="18">
        <v>2</v>
      </c>
      <c r="J18" s="78">
        <f t="shared" ref="J18:L24" si="6">H18*I18</f>
        <v>10995116277.76</v>
      </c>
      <c r="K18" s="18">
        <v>2</v>
      </c>
      <c r="L18" s="78">
        <f t="shared" si="6"/>
        <v>21990232555.52</v>
      </c>
      <c r="M18" s="18">
        <v>2</v>
      </c>
      <c r="N18" s="2">
        <f t="shared" si="4"/>
        <v>43980465111.040001</v>
      </c>
    </row>
    <row r="19" spans="3:14" x14ac:dyDescent="0.3">
      <c r="C19" s="9">
        <f t="shared" si="0"/>
        <v>43980465111.040001</v>
      </c>
      <c r="D19" s="10">
        <v>8</v>
      </c>
      <c r="E19" s="16" t="s">
        <v>9</v>
      </c>
      <c r="F19" s="11" t="s">
        <v>20</v>
      </c>
      <c r="H19" s="2">
        <f t="shared" si="5"/>
        <v>43980465111.040001</v>
      </c>
      <c r="I19" s="18">
        <v>2</v>
      </c>
      <c r="J19" s="2">
        <f t="shared" si="6"/>
        <v>87960930222.080002</v>
      </c>
      <c r="K19" s="18">
        <v>2</v>
      </c>
      <c r="L19" s="2">
        <f t="shared" si="6"/>
        <v>175921860444.16</v>
      </c>
      <c r="M19" s="18">
        <v>2</v>
      </c>
      <c r="N19" s="2">
        <f t="shared" si="4"/>
        <v>351843720888.32001</v>
      </c>
    </row>
    <row r="20" spans="3:14" x14ac:dyDescent="0.3">
      <c r="C20" s="6">
        <f t="shared" si="0"/>
        <v>351843720888.32001</v>
      </c>
      <c r="D20" s="7">
        <v>8</v>
      </c>
      <c r="E20" s="15" t="s">
        <v>10</v>
      </c>
      <c r="F20" s="8" t="s">
        <v>25</v>
      </c>
      <c r="H20" s="2">
        <f t="shared" si="5"/>
        <v>351843720888.32001</v>
      </c>
      <c r="I20" s="18">
        <v>2</v>
      </c>
      <c r="J20" s="2">
        <f t="shared" si="6"/>
        <v>703687441776.64001</v>
      </c>
      <c r="K20" s="18">
        <v>2</v>
      </c>
      <c r="L20" s="2">
        <f t="shared" si="6"/>
        <v>1407374883553.28</v>
      </c>
      <c r="M20" s="18">
        <v>2</v>
      </c>
      <c r="N20" s="2">
        <f t="shared" si="4"/>
        <v>2814749767106.5601</v>
      </c>
    </row>
    <row r="21" spans="3:14" x14ac:dyDescent="0.3">
      <c r="C21" s="6">
        <f t="shared" si="0"/>
        <v>2814749767106.5601</v>
      </c>
      <c r="D21" s="7">
        <v>8</v>
      </c>
      <c r="E21" s="15" t="s">
        <v>15</v>
      </c>
      <c r="F21" s="8" t="s">
        <v>27</v>
      </c>
      <c r="H21" s="2">
        <f t="shared" si="5"/>
        <v>2814749767106.5601</v>
      </c>
      <c r="I21" s="18">
        <v>2</v>
      </c>
      <c r="J21" s="2">
        <f t="shared" si="6"/>
        <v>5629499534213.1201</v>
      </c>
      <c r="K21" s="18">
        <v>2</v>
      </c>
      <c r="L21" s="2">
        <f t="shared" si="6"/>
        <v>11258999068426.24</v>
      </c>
      <c r="M21" s="18">
        <v>2</v>
      </c>
      <c r="N21" s="2">
        <f t="shared" si="4"/>
        <v>22517998136852.48</v>
      </c>
    </row>
    <row r="22" spans="3:14" x14ac:dyDescent="0.3">
      <c r="C22" s="6">
        <f>C21*D21</f>
        <v>22517998136852.48</v>
      </c>
      <c r="D22" s="7">
        <v>8</v>
      </c>
      <c r="E22" s="15" t="s">
        <v>16</v>
      </c>
      <c r="F22" s="8" t="s">
        <v>28</v>
      </c>
      <c r="H22" s="2">
        <f t="shared" si="5"/>
        <v>22517998136852.48</v>
      </c>
      <c r="I22" s="18">
        <v>2</v>
      </c>
      <c r="J22" s="2">
        <f t="shared" si="6"/>
        <v>45035996273704.961</v>
      </c>
      <c r="K22" s="18">
        <v>2</v>
      </c>
      <c r="L22" s="2">
        <f t="shared" si="6"/>
        <v>90071992547409.922</v>
      </c>
      <c r="M22" s="18">
        <v>2</v>
      </c>
      <c r="N22" s="2">
        <f t="shared" si="4"/>
        <v>180143985094819.84</v>
      </c>
    </row>
    <row r="23" spans="3:14" x14ac:dyDescent="0.3">
      <c r="C23" s="6">
        <f>C22*D22</f>
        <v>180143985094819.84</v>
      </c>
      <c r="D23" s="7">
        <v>8</v>
      </c>
      <c r="E23" s="15" t="s">
        <v>17</v>
      </c>
      <c r="F23" s="8" t="s">
        <v>29</v>
      </c>
      <c r="H23" s="2">
        <f t="shared" si="5"/>
        <v>180143985094819.84</v>
      </c>
      <c r="I23" s="18">
        <v>2</v>
      </c>
      <c r="J23" s="2">
        <f t="shared" si="6"/>
        <v>360287970189639.69</v>
      </c>
      <c r="K23" s="18">
        <v>2</v>
      </c>
      <c r="L23" s="2">
        <f t="shared" si="6"/>
        <v>720575940379279.38</v>
      </c>
      <c r="M23" s="18">
        <v>2</v>
      </c>
      <c r="N23" s="2">
        <f t="shared" si="4"/>
        <v>1441151880758558.8</v>
      </c>
    </row>
    <row r="24" spans="3:14" x14ac:dyDescent="0.3">
      <c r="C24" s="9">
        <f>C23*D23</f>
        <v>1441151880758558.8</v>
      </c>
      <c r="D24" s="10">
        <v>8</v>
      </c>
      <c r="E24" s="16" t="s">
        <v>26</v>
      </c>
      <c r="F24" s="11" t="s">
        <v>30</v>
      </c>
      <c r="H24" s="2">
        <f t="shared" si="5"/>
        <v>1441151880758558.8</v>
      </c>
      <c r="I24" s="18">
        <v>2</v>
      </c>
      <c r="J24" s="2">
        <f t="shared" si="6"/>
        <v>2882303761517117.5</v>
      </c>
      <c r="K24" s="18">
        <v>2</v>
      </c>
      <c r="L24" s="2">
        <f t="shared" si="6"/>
        <v>5764607523034235</v>
      </c>
      <c r="M24" s="18">
        <v>2</v>
      </c>
      <c r="N24" s="2">
        <f t="shared" si="4"/>
        <v>1.152921504606847E+16</v>
      </c>
    </row>
    <row r="25" spans="3:14" x14ac:dyDescent="0.3">
      <c r="C25" s="2"/>
    </row>
    <row r="26" spans="3:14" x14ac:dyDescent="0.3">
      <c r="C26" s="2"/>
      <c r="E26" s="19"/>
      <c r="F26" s="2"/>
      <c r="J26" s="38" t="s">
        <v>1666</v>
      </c>
    </row>
    <row r="27" spans="3:14" x14ac:dyDescent="0.3">
      <c r="F27" s="38" t="s">
        <v>1663</v>
      </c>
      <c r="H27" s="1488">
        <v>32768</v>
      </c>
      <c r="I27" s="1488">
        <v>2048</v>
      </c>
      <c r="J27" s="42">
        <f>H27*I27</f>
        <v>67108864</v>
      </c>
      <c r="L27" s="1">
        <f>H13</f>
        <v>167772.16</v>
      </c>
      <c r="N27" s="1489">
        <f>J27*L27</f>
        <v>11258999068426.24</v>
      </c>
    </row>
    <row r="28" spans="3:14" x14ac:dyDescent="0.3">
      <c r="C28" s="1">
        <v>80000000000000</v>
      </c>
      <c r="F28" s="38" t="s">
        <v>1662</v>
      </c>
      <c r="H28" s="938">
        <v>4096</v>
      </c>
      <c r="I28" s="1488">
        <v>2048</v>
      </c>
      <c r="J28" s="42">
        <f>H28*I28</f>
        <v>8388608</v>
      </c>
    </row>
    <row r="29" spans="3:14" x14ac:dyDescent="0.3">
      <c r="C29" s="1">
        <v>32768</v>
      </c>
      <c r="F29" s="38" t="s">
        <v>1664</v>
      </c>
      <c r="G29" s="30"/>
      <c r="H29" s="938">
        <v>1</v>
      </c>
      <c r="I29" s="1488"/>
      <c r="M29" s="1" t="s">
        <v>667</v>
      </c>
      <c r="N29" s="1">
        <v>80000000000000</v>
      </c>
    </row>
    <row r="30" spans="3:14" x14ac:dyDescent="0.3">
      <c r="C30" s="1">
        <f>C28/C29</f>
        <v>2441406250</v>
      </c>
      <c r="F30" s="38" t="s">
        <v>1665</v>
      </c>
      <c r="H30" s="1488">
        <v>2048</v>
      </c>
      <c r="I30" s="1488"/>
      <c r="J30" s="1">
        <f>J18</f>
        <v>10995116277.76</v>
      </c>
      <c r="N30" s="32">
        <f>N27/N29</f>
        <v>0.14073748835532801</v>
      </c>
    </row>
    <row r="31" spans="3:14" x14ac:dyDescent="0.3">
      <c r="C31" s="1">
        <v>1000000</v>
      </c>
      <c r="F31" s="38"/>
      <c r="J31" s="80">
        <v>3.125E-2</v>
      </c>
    </row>
    <row r="32" spans="3:14" x14ac:dyDescent="0.3">
      <c r="C32" s="1">
        <f>C30/C31</f>
        <v>2441.40625</v>
      </c>
      <c r="F32" s="2"/>
      <c r="J32" s="1">
        <f>J18*3.125%</f>
        <v>343597383.68000001</v>
      </c>
    </row>
    <row r="33" spans="10:11" x14ac:dyDescent="0.3">
      <c r="J33" s="938">
        <v>6</v>
      </c>
      <c r="K33" s="1" t="s">
        <v>1670</v>
      </c>
    </row>
    <row r="34" spans="10:11" x14ac:dyDescent="0.3">
      <c r="J34" s="1">
        <f>J32/J33</f>
        <v>57266230.613333337</v>
      </c>
    </row>
    <row r="35" spans="10:11" x14ac:dyDescent="0.3">
      <c r="J35" s="938">
        <v>256</v>
      </c>
    </row>
    <row r="36" spans="10:11" x14ac:dyDescent="0.3">
      <c r="J36" s="1">
        <f>J34/J35</f>
        <v>223696.21333333335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E8F86-E440-4435-AD9B-85F05221C0E2}">
  <dimension ref="B1:AE145"/>
  <sheetViews>
    <sheetView topLeftCell="A30" workbookViewId="0">
      <selection activeCell="D32" sqref="D32"/>
    </sheetView>
  </sheetViews>
  <sheetFormatPr defaultColWidth="8.88671875" defaultRowHeight="15.6" x14ac:dyDescent="0.3"/>
  <cols>
    <col min="1" max="1" width="8.88671875" style="1"/>
    <col min="2" max="2" width="28.5546875" style="1" bestFit="1" customWidth="1"/>
    <col min="3" max="3" width="37.6640625" style="1" customWidth="1"/>
    <col min="4" max="4" width="40.109375" style="2" customWidth="1"/>
    <col min="5" max="5" width="10.5546875" style="1" customWidth="1"/>
    <col min="6" max="6" width="22" style="1" customWidth="1"/>
    <col min="7" max="7" width="18.88671875" style="1" bestFit="1" customWidth="1"/>
    <col min="8" max="8" width="27.33203125" style="1" bestFit="1" customWidth="1"/>
    <col min="9" max="9" width="21.5546875" style="1" customWidth="1"/>
    <col min="10" max="10" width="24.6640625" style="1" customWidth="1"/>
    <col min="11" max="11" width="26.5546875" style="1" customWidth="1"/>
    <col min="12" max="12" width="19.33203125" style="1" customWidth="1"/>
    <col min="13" max="13" width="15.6640625" style="1" bestFit="1" customWidth="1"/>
    <col min="14" max="14" width="17.88671875" style="1" bestFit="1" customWidth="1"/>
    <col min="15" max="15" width="13.44140625" style="1" bestFit="1" customWidth="1"/>
    <col min="16" max="16" width="15.109375" style="1" bestFit="1" customWidth="1"/>
    <col min="17" max="18" width="12.33203125" style="1" bestFit="1" customWidth="1"/>
    <col min="19" max="19" width="13.33203125" style="1" customWidth="1"/>
    <col min="20" max="20" width="8.88671875" style="1"/>
    <col min="21" max="21" width="9.44140625" style="1" bestFit="1" customWidth="1"/>
    <col min="22" max="22" width="8.88671875" style="1"/>
    <col min="23" max="24" width="13.44140625" style="1" bestFit="1" customWidth="1"/>
    <col min="25" max="25" width="16.33203125" style="1" bestFit="1" customWidth="1"/>
    <col min="26" max="26" width="11.109375" style="1" bestFit="1" customWidth="1"/>
    <col min="27" max="27" width="8.88671875" style="1"/>
    <col min="28" max="28" width="13.44140625" style="1" bestFit="1" customWidth="1"/>
    <col min="29" max="29" width="5.44140625" style="1" customWidth="1"/>
    <col min="30" max="30" width="8.88671875" style="1"/>
    <col min="31" max="31" width="11.109375" style="1" bestFit="1" customWidth="1"/>
    <col min="32" max="16384" width="8.88671875" style="1"/>
  </cols>
  <sheetData>
    <row r="1" spans="3:31" s="181" customFormat="1" ht="21" x14ac:dyDescent="0.4">
      <c r="C1" s="561" t="s">
        <v>903</v>
      </c>
      <c r="D1" s="183"/>
      <c r="F1" s="561" t="s">
        <v>887</v>
      </c>
    </row>
    <row r="2" spans="3:31" ht="21" x14ac:dyDescent="0.4">
      <c r="C2" s="427" t="s">
        <v>886</v>
      </c>
    </row>
    <row r="3" spans="3:31" ht="25.2" x14ac:dyDescent="0.6">
      <c r="C3" s="562" t="s">
        <v>885</v>
      </c>
    </row>
    <row r="4" spans="3:31" x14ac:dyDescent="0.3">
      <c r="F4" s="1" t="s">
        <v>919</v>
      </c>
      <c r="K4" s="76"/>
      <c r="L4" s="332" t="s">
        <v>727</v>
      </c>
      <c r="N4" s="76" t="s">
        <v>920</v>
      </c>
      <c r="O4" s="238"/>
      <c r="P4" s="238"/>
      <c r="Q4" s="238"/>
    </row>
    <row r="5" spans="3:31" ht="18" x14ac:dyDescent="0.35">
      <c r="C5" s="425" t="s">
        <v>918</v>
      </c>
      <c r="D5" s="426"/>
      <c r="F5" s="414" t="s">
        <v>35</v>
      </c>
      <c r="G5" s="76"/>
      <c r="H5" s="415">
        <v>6.25E-2</v>
      </c>
      <c r="I5" s="79">
        <f>D16*H5</f>
        <v>167772.16</v>
      </c>
      <c r="J5" s="418">
        <v>1</v>
      </c>
      <c r="L5" s="78">
        <f>I5</f>
        <v>167772.16</v>
      </c>
      <c r="M5" s="76">
        <v>2</v>
      </c>
      <c r="N5" s="78">
        <f>L5*M5</f>
        <v>335544.32000000001</v>
      </c>
      <c r="T5" s="339">
        <v>12.5</v>
      </c>
      <c r="U5" s="1" t="s">
        <v>684</v>
      </c>
      <c r="V5" s="424">
        <v>6.25E-2</v>
      </c>
      <c r="W5" s="382">
        <f>V5</f>
        <v>6.25E-2</v>
      </c>
      <c r="X5" s="382">
        <f>W5</f>
        <v>6.25E-2</v>
      </c>
    </row>
    <row r="6" spans="3:31" x14ac:dyDescent="0.3">
      <c r="C6" s="76"/>
      <c r="D6" s="79"/>
      <c r="F6" s="414" t="s">
        <v>155</v>
      </c>
      <c r="G6" s="76"/>
      <c r="H6" s="415">
        <v>6.25E-2</v>
      </c>
      <c r="I6" s="79">
        <f>D16*H6</f>
        <v>167772.16</v>
      </c>
      <c r="J6" s="418">
        <v>1</v>
      </c>
      <c r="L6" s="78">
        <f>I6</f>
        <v>167772.16</v>
      </c>
      <c r="M6" s="76">
        <f>M5</f>
        <v>2</v>
      </c>
      <c r="N6" s="78">
        <f t="shared" ref="N6:N15" si="0">L6*M6</f>
        <v>335544.32000000001</v>
      </c>
      <c r="T6" s="338">
        <f>T5/4</f>
        <v>3.125</v>
      </c>
      <c r="U6" s="1" t="s">
        <v>684</v>
      </c>
      <c r="V6" s="382">
        <f>V5</f>
        <v>6.25E-2</v>
      </c>
      <c r="W6" s="382">
        <f>W5</f>
        <v>6.25E-2</v>
      </c>
      <c r="X6" s="382">
        <f>V6+W6</f>
        <v>0.125</v>
      </c>
      <c r="AC6" s="2"/>
    </row>
    <row r="7" spans="3:31" x14ac:dyDescent="0.3">
      <c r="C7" s="76" t="s">
        <v>193</v>
      </c>
      <c r="D7" s="79">
        <v>10737418.24</v>
      </c>
      <c r="F7" s="414" t="s">
        <v>726</v>
      </c>
      <c r="G7" s="76"/>
      <c r="H7" s="416">
        <v>0.25</v>
      </c>
      <c r="I7" s="79">
        <f>D16*H7</f>
        <v>671088.64000000001</v>
      </c>
      <c r="J7" s="418">
        <v>4</v>
      </c>
      <c r="L7" s="78">
        <f>I7</f>
        <v>671088.64000000001</v>
      </c>
      <c r="M7" s="76">
        <f t="shared" ref="M7:M15" si="1">M6</f>
        <v>2</v>
      </c>
      <c r="N7" s="78">
        <f t="shared" si="0"/>
        <v>1342177.28</v>
      </c>
      <c r="T7" s="338">
        <f>T6*2</f>
        <v>6.25</v>
      </c>
      <c r="U7" s="1" t="s">
        <v>684</v>
      </c>
      <c r="V7" s="382">
        <f>V6</f>
        <v>6.25E-2</v>
      </c>
      <c r="W7" s="382">
        <f>X6</f>
        <v>0.125</v>
      </c>
      <c r="X7" s="382">
        <f>V7+W7</f>
        <v>0.1875</v>
      </c>
    </row>
    <row r="8" spans="3:31" x14ac:dyDescent="0.3">
      <c r="C8" s="76"/>
      <c r="D8" s="423">
        <v>0.5</v>
      </c>
      <c r="F8" s="414" t="s">
        <v>199</v>
      </c>
      <c r="G8" s="76"/>
      <c r="H8" s="416">
        <v>0.125</v>
      </c>
      <c r="I8" s="79">
        <f>D16*H8</f>
        <v>335544.32000000001</v>
      </c>
      <c r="J8" s="418">
        <v>2</v>
      </c>
      <c r="L8" s="78">
        <f>I8</f>
        <v>335544.32000000001</v>
      </c>
      <c r="M8" s="76">
        <f t="shared" si="1"/>
        <v>2</v>
      </c>
      <c r="N8" s="78">
        <f t="shared" si="0"/>
        <v>671088.64000000001</v>
      </c>
      <c r="T8" s="338">
        <f>T6+T7</f>
        <v>9.375</v>
      </c>
      <c r="U8" s="1" t="s">
        <v>684</v>
      </c>
      <c r="V8" s="382">
        <f t="shared" ref="V8:V17" si="2">V7</f>
        <v>6.25E-2</v>
      </c>
      <c r="W8" s="382">
        <f t="shared" ref="W8:W17" si="3">X7</f>
        <v>0.1875</v>
      </c>
      <c r="X8" s="382">
        <f t="shared" ref="X8:X17" si="4">V8+W8</f>
        <v>0.25</v>
      </c>
    </row>
    <row r="9" spans="3:31" x14ac:dyDescent="0.3">
      <c r="C9" s="76" t="s">
        <v>103</v>
      </c>
      <c r="D9" s="79">
        <f>D7*D8</f>
        <v>5368709.1200000001</v>
      </c>
      <c r="F9" s="414" t="s">
        <v>197</v>
      </c>
      <c r="G9" s="76"/>
      <c r="H9" s="415">
        <v>6.25E-2</v>
      </c>
      <c r="I9" s="79">
        <f>D16*H9</f>
        <v>167772.16</v>
      </c>
      <c r="J9" s="418">
        <v>1</v>
      </c>
      <c r="L9" s="78"/>
      <c r="M9" s="76">
        <f t="shared" si="1"/>
        <v>2</v>
      </c>
      <c r="N9" s="78">
        <f t="shared" si="0"/>
        <v>0</v>
      </c>
      <c r="T9" s="338">
        <f>T5</f>
        <v>12.5</v>
      </c>
      <c r="U9" s="1" t="s">
        <v>684</v>
      </c>
      <c r="V9" s="382">
        <f t="shared" si="2"/>
        <v>6.25E-2</v>
      </c>
      <c r="W9" s="382">
        <f t="shared" si="3"/>
        <v>0.25</v>
      </c>
      <c r="X9" s="382">
        <f t="shared" si="4"/>
        <v>0.3125</v>
      </c>
      <c r="Y9" s="85"/>
      <c r="Z9" s="2"/>
      <c r="AC9" s="2"/>
      <c r="AD9" s="85"/>
      <c r="AE9" s="2"/>
    </row>
    <row r="10" spans="3:31" x14ac:dyDescent="0.3">
      <c r="C10" s="76" t="s">
        <v>194</v>
      </c>
      <c r="D10" s="79">
        <f>D7*D8</f>
        <v>5368709.1200000001</v>
      </c>
      <c r="F10" s="414" t="s">
        <v>200</v>
      </c>
      <c r="G10" s="76"/>
      <c r="H10" s="415">
        <v>6.25E-2</v>
      </c>
      <c r="I10" s="79">
        <f>D16*H10</f>
        <v>167772.16</v>
      </c>
      <c r="J10" s="418">
        <v>1</v>
      </c>
      <c r="L10" s="76"/>
      <c r="M10" s="76">
        <f t="shared" si="1"/>
        <v>2</v>
      </c>
      <c r="N10" s="78">
        <f t="shared" si="0"/>
        <v>0</v>
      </c>
      <c r="T10" s="338">
        <f>T5+T6</f>
        <v>15.625</v>
      </c>
      <c r="U10" s="1" t="s">
        <v>684</v>
      </c>
      <c r="V10" s="382">
        <f t="shared" si="2"/>
        <v>6.25E-2</v>
      </c>
      <c r="W10" s="382">
        <f t="shared" si="3"/>
        <v>0.3125</v>
      </c>
      <c r="X10" s="382">
        <f t="shared" si="4"/>
        <v>0.375</v>
      </c>
      <c r="Y10" s="85"/>
      <c r="Z10" s="2"/>
      <c r="AC10" s="2"/>
      <c r="AD10" s="18"/>
      <c r="AE10" s="2"/>
    </row>
    <row r="11" spans="3:31" x14ac:dyDescent="0.3">
      <c r="C11" s="76"/>
      <c r="D11" s="79"/>
      <c r="F11" s="414" t="s">
        <v>195</v>
      </c>
      <c r="G11" s="76"/>
      <c r="H11" s="415">
        <v>6.25E-2</v>
      </c>
      <c r="I11" s="79">
        <f>D16*H11</f>
        <v>167772.16</v>
      </c>
      <c r="J11" s="418">
        <v>1</v>
      </c>
      <c r="L11" s="76"/>
      <c r="M11" s="76">
        <f t="shared" si="1"/>
        <v>2</v>
      </c>
      <c r="N11" s="78">
        <f t="shared" si="0"/>
        <v>0</v>
      </c>
      <c r="T11" s="338">
        <f>T10+T6</f>
        <v>18.75</v>
      </c>
      <c r="U11" s="1" t="s">
        <v>684</v>
      </c>
      <c r="V11" s="382">
        <f t="shared" si="2"/>
        <v>6.25E-2</v>
      </c>
      <c r="W11" s="382">
        <f t="shared" si="3"/>
        <v>0.375</v>
      </c>
      <c r="X11" s="382">
        <f t="shared" si="4"/>
        <v>0.4375</v>
      </c>
      <c r="Y11" s="85"/>
      <c r="Z11" s="2"/>
      <c r="AC11" s="2"/>
      <c r="AD11" s="18"/>
      <c r="AE11" s="2"/>
    </row>
    <row r="12" spans="3:31" x14ac:dyDescent="0.3">
      <c r="C12" s="76" t="s">
        <v>155</v>
      </c>
      <c r="D12" s="423">
        <v>0.5</v>
      </c>
      <c r="F12" s="414" t="s">
        <v>196</v>
      </c>
      <c r="G12" s="76"/>
      <c r="H12" s="415">
        <v>6.25E-2</v>
      </c>
      <c r="I12" s="79">
        <f>D16*H12</f>
        <v>167772.16</v>
      </c>
      <c r="J12" s="418">
        <v>1</v>
      </c>
      <c r="L12" s="76"/>
      <c r="M12" s="76">
        <f t="shared" si="1"/>
        <v>2</v>
      </c>
      <c r="N12" s="78">
        <f t="shared" si="0"/>
        <v>0</v>
      </c>
      <c r="T12" s="338">
        <f>T11+T6</f>
        <v>21.875</v>
      </c>
      <c r="U12" s="1" t="s">
        <v>684</v>
      </c>
      <c r="V12" s="382">
        <f t="shared" si="2"/>
        <v>6.25E-2</v>
      </c>
      <c r="W12" s="382">
        <f t="shared" si="3"/>
        <v>0.4375</v>
      </c>
      <c r="X12" s="382">
        <f t="shared" si="4"/>
        <v>0.5</v>
      </c>
      <c r="Y12" s="85"/>
      <c r="Z12" s="2"/>
      <c r="AC12" s="2"/>
      <c r="AD12" s="18"/>
      <c r="AE12" s="2"/>
    </row>
    <row r="13" spans="3:31" x14ac:dyDescent="0.3">
      <c r="C13" s="76" t="s">
        <v>103</v>
      </c>
      <c r="D13" s="79">
        <f>D9*D12</f>
        <v>2684354.5600000001</v>
      </c>
      <c r="F13" s="414" t="s">
        <v>291</v>
      </c>
      <c r="G13" s="76"/>
      <c r="H13" s="416">
        <v>0.125</v>
      </c>
      <c r="I13" s="419">
        <f>D16*H13</f>
        <v>335544.32000000001</v>
      </c>
      <c r="J13" s="420">
        <v>2</v>
      </c>
      <c r="L13" s="78"/>
      <c r="M13" s="76">
        <f t="shared" si="1"/>
        <v>2</v>
      </c>
      <c r="N13" s="78">
        <f t="shared" si="0"/>
        <v>0</v>
      </c>
      <c r="T13" s="338">
        <f>T12+T6</f>
        <v>25</v>
      </c>
      <c r="U13" s="1" t="s">
        <v>684</v>
      </c>
      <c r="V13" s="382">
        <f t="shared" si="2"/>
        <v>6.25E-2</v>
      </c>
      <c r="W13" s="382">
        <f t="shared" si="3"/>
        <v>0.5</v>
      </c>
      <c r="X13" s="382">
        <f t="shared" si="4"/>
        <v>0.5625</v>
      </c>
      <c r="Y13" s="85"/>
      <c r="Z13" s="2"/>
      <c r="AC13" s="2"/>
      <c r="AD13" s="18"/>
      <c r="AE13" s="2"/>
    </row>
    <row r="14" spans="3:31" x14ac:dyDescent="0.3">
      <c r="C14" s="76" t="s">
        <v>194</v>
      </c>
      <c r="D14" s="79">
        <f>D10*D12</f>
        <v>2684354.5600000001</v>
      </c>
      <c r="F14" s="414" t="s">
        <v>207</v>
      </c>
      <c r="G14" s="76"/>
      <c r="H14" s="415">
        <v>6.25E-2</v>
      </c>
      <c r="I14" s="419">
        <f>D16*H14</f>
        <v>167772.16</v>
      </c>
      <c r="J14" s="421">
        <v>1</v>
      </c>
      <c r="K14" s="413"/>
      <c r="L14" s="78">
        <f>I14</f>
        <v>167772.16</v>
      </c>
      <c r="M14" s="76">
        <f t="shared" si="1"/>
        <v>2</v>
      </c>
      <c r="N14" s="78">
        <f t="shared" si="0"/>
        <v>335544.32000000001</v>
      </c>
      <c r="O14" s="413"/>
      <c r="V14" s="382">
        <f t="shared" si="2"/>
        <v>6.25E-2</v>
      </c>
      <c r="W14" s="382">
        <f t="shared" si="3"/>
        <v>0.5625</v>
      </c>
      <c r="X14" s="382">
        <f t="shared" si="4"/>
        <v>0.625</v>
      </c>
      <c r="Y14" s="85"/>
      <c r="Z14" s="2"/>
      <c r="AC14" s="2"/>
      <c r="AD14" s="18"/>
      <c r="AE14" s="2"/>
    </row>
    <row r="15" spans="3:31" x14ac:dyDescent="0.3">
      <c r="C15" s="76"/>
      <c r="D15" s="79"/>
      <c r="F15" s="422" t="s">
        <v>148</v>
      </c>
      <c r="G15" s="76"/>
      <c r="H15" s="415">
        <v>6.25E-2</v>
      </c>
      <c r="I15" s="411">
        <f>D16*H15</f>
        <v>167772.16</v>
      </c>
      <c r="J15" s="420">
        <v>1</v>
      </c>
      <c r="K15" s="412"/>
      <c r="L15" s="123"/>
      <c r="M15" s="76">
        <f t="shared" si="1"/>
        <v>2</v>
      </c>
      <c r="N15" s="78">
        <f t="shared" si="0"/>
        <v>0</v>
      </c>
      <c r="O15" s="412"/>
      <c r="V15" s="382">
        <f t="shared" si="2"/>
        <v>6.25E-2</v>
      </c>
      <c r="W15" s="382">
        <f t="shared" si="3"/>
        <v>0.625</v>
      </c>
      <c r="X15" s="382">
        <f t="shared" si="4"/>
        <v>0.6875</v>
      </c>
      <c r="Y15" s="85"/>
      <c r="Z15" s="2"/>
      <c r="AC15" s="2"/>
      <c r="AD15" s="18"/>
      <c r="AE15" s="2"/>
    </row>
    <row r="16" spans="3:31" ht="18" x14ac:dyDescent="0.35">
      <c r="C16" s="425" t="s">
        <v>103</v>
      </c>
      <c r="D16" s="426">
        <f>D13</f>
        <v>2684354.5600000001</v>
      </c>
      <c r="E16" s="238"/>
      <c r="F16" s="76"/>
      <c r="G16" s="76"/>
      <c r="H16" s="417">
        <f>SUM(H4:H15)</f>
        <v>1</v>
      </c>
      <c r="I16" s="123">
        <f>SUM(I5:I15)</f>
        <v>2684354.5600000001</v>
      </c>
      <c r="J16" s="302">
        <f>SUM(J5:J15)</f>
        <v>16</v>
      </c>
      <c r="L16" s="78"/>
      <c r="M16" s="76"/>
      <c r="N16" s="426">
        <f>SUM(N5:N15)</f>
        <v>3019898.8799999999</v>
      </c>
      <c r="O16" s="410" t="s">
        <v>881</v>
      </c>
      <c r="P16" s="238"/>
      <c r="Q16" s="238"/>
      <c r="V16" s="382">
        <f t="shared" si="2"/>
        <v>6.25E-2</v>
      </c>
      <c r="W16" s="382">
        <f t="shared" si="3"/>
        <v>0.6875</v>
      </c>
      <c r="X16" s="382">
        <f t="shared" si="4"/>
        <v>0.75</v>
      </c>
      <c r="Y16" s="85"/>
      <c r="Z16" s="2"/>
      <c r="AC16" s="2"/>
      <c r="AD16" s="18"/>
      <c r="AE16" s="2"/>
    </row>
    <row r="17" spans="3:31" x14ac:dyDescent="0.3">
      <c r="F17" s="73"/>
      <c r="H17" s="255"/>
      <c r="I17" s="255"/>
      <c r="J17" s="410" t="s">
        <v>725</v>
      </c>
      <c r="K17" s="410"/>
      <c r="L17" s="410"/>
      <c r="M17" s="251"/>
      <c r="N17" s="255"/>
      <c r="O17" s="255"/>
      <c r="V17" s="382">
        <f t="shared" si="2"/>
        <v>6.25E-2</v>
      </c>
      <c r="W17" s="382">
        <f t="shared" si="3"/>
        <v>0.75</v>
      </c>
      <c r="X17" s="382">
        <f t="shared" si="4"/>
        <v>0.8125</v>
      </c>
      <c r="Y17" s="85"/>
      <c r="Z17" s="2"/>
      <c r="AC17" s="2"/>
      <c r="AD17" s="18"/>
      <c r="AE17" s="2"/>
    </row>
    <row r="18" spans="3:31" x14ac:dyDescent="0.3">
      <c r="F18" s="73"/>
      <c r="H18" s="255"/>
      <c r="I18" s="255"/>
      <c r="J18" s="251"/>
      <c r="K18" s="251"/>
      <c r="L18" s="251"/>
      <c r="M18" s="251"/>
      <c r="N18" s="255"/>
      <c r="O18" s="255"/>
      <c r="V18" s="382">
        <f>V17</f>
        <v>6.25E-2</v>
      </c>
      <c r="W18" s="382">
        <f>X17</f>
        <v>0.8125</v>
      </c>
      <c r="X18" s="382">
        <f>V18+W18</f>
        <v>0.875</v>
      </c>
      <c r="Y18" s="85"/>
      <c r="Z18" s="2"/>
      <c r="AC18" s="2"/>
      <c r="AD18" s="18"/>
      <c r="AE18" s="2"/>
    </row>
    <row r="19" spans="3:31" x14ac:dyDescent="0.3">
      <c r="C19" s="96" t="s">
        <v>808</v>
      </c>
      <c r="D19" s="97">
        <f>D7</f>
        <v>10737418.24</v>
      </c>
      <c r="F19" s="73"/>
      <c r="H19" s="255"/>
      <c r="I19" s="255"/>
      <c r="J19" s="251"/>
      <c r="K19" s="251"/>
      <c r="L19" s="251"/>
      <c r="M19" s="251"/>
      <c r="N19" s="255"/>
      <c r="O19" s="255"/>
      <c r="V19" s="382">
        <f>V18</f>
        <v>6.25E-2</v>
      </c>
      <c r="W19" s="382">
        <f>X18</f>
        <v>0.875</v>
      </c>
      <c r="X19" s="382">
        <f>V19+W19</f>
        <v>0.9375</v>
      </c>
      <c r="Y19" s="85"/>
      <c r="Z19" s="2"/>
      <c r="AC19" s="2"/>
      <c r="AD19" s="18"/>
      <c r="AE19" s="2"/>
    </row>
    <row r="20" spans="3:31" x14ac:dyDescent="0.3">
      <c r="C20" s="96" t="s">
        <v>717</v>
      </c>
      <c r="F20" s="73"/>
      <c r="H20" s="255"/>
      <c r="I20" s="255"/>
      <c r="J20" s="251"/>
      <c r="K20" s="251"/>
      <c r="L20" s="251"/>
      <c r="M20" s="251"/>
      <c r="N20" s="255"/>
      <c r="O20" s="255"/>
      <c r="V20" s="382">
        <f>V19</f>
        <v>6.25E-2</v>
      </c>
      <c r="W20" s="382">
        <f>X19</f>
        <v>0.9375</v>
      </c>
      <c r="X20" s="382">
        <f>V20+W20</f>
        <v>1</v>
      </c>
      <c r="Y20" s="85"/>
      <c r="Z20" s="2"/>
      <c r="AC20" s="2"/>
      <c r="AD20" s="18"/>
      <c r="AE20" s="2"/>
    </row>
    <row r="21" spans="3:31" x14ac:dyDescent="0.3">
      <c r="C21" s="96"/>
      <c r="F21" s="73"/>
      <c r="H21" s="255"/>
      <c r="I21" s="255"/>
      <c r="J21" s="251"/>
      <c r="K21" s="251"/>
      <c r="L21" s="251"/>
      <c r="M21" s="251"/>
      <c r="N21" s="255"/>
      <c r="O21" s="255"/>
      <c r="V21" s="382"/>
      <c r="W21" s="382"/>
      <c r="X21" s="382"/>
      <c r="Y21" s="85"/>
      <c r="Z21" s="2"/>
      <c r="AC21" s="2"/>
      <c r="AD21" s="18"/>
      <c r="AE21" s="2"/>
    </row>
    <row r="22" spans="3:31" x14ac:dyDescent="0.3">
      <c r="C22" s="96" t="s">
        <v>233</v>
      </c>
      <c r="D22" s="97">
        <f>I102</f>
        <v>2013265.9199999999</v>
      </c>
      <c r="E22" s="1" t="s">
        <v>921</v>
      </c>
      <c r="F22" s="73"/>
      <c r="H22" s="255"/>
      <c r="I22" s="255"/>
      <c r="J22" s="251"/>
      <c r="K22" s="251"/>
      <c r="L22" s="251"/>
      <c r="M22" s="251"/>
      <c r="N22" s="255"/>
      <c r="O22" s="255"/>
      <c r="V22" s="382"/>
      <c r="W22" s="382"/>
      <c r="X22" s="382"/>
      <c r="Y22" s="85"/>
      <c r="Z22" s="2"/>
      <c r="AC22" s="2"/>
      <c r="AD22" s="18"/>
      <c r="AE22" s="2"/>
    </row>
    <row r="23" spans="3:31" x14ac:dyDescent="0.3">
      <c r="C23" s="96" t="s">
        <v>234</v>
      </c>
      <c r="D23" s="108">
        <f>F91</f>
        <v>3897686.91</v>
      </c>
      <c r="F23" s="73"/>
      <c r="H23" s="255"/>
      <c r="I23" s="255"/>
      <c r="J23" s="251"/>
      <c r="K23" s="251"/>
      <c r="L23" s="251"/>
      <c r="M23" s="251"/>
      <c r="N23" s="255"/>
      <c r="O23" s="255"/>
      <c r="V23" s="382"/>
      <c r="W23" s="382"/>
      <c r="X23" s="382"/>
      <c r="Y23" s="85"/>
      <c r="Z23" s="2"/>
      <c r="AC23" s="2"/>
      <c r="AD23" s="18"/>
      <c r="AE23" s="2"/>
    </row>
    <row r="24" spans="3:31" x14ac:dyDescent="0.3">
      <c r="C24" s="392" t="s">
        <v>810</v>
      </c>
      <c r="D24" s="428">
        <f>D22+D23</f>
        <v>5910952.8300000001</v>
      </c>
      <c r="E24" s="557" t="s">
        <v>875</v>
      </c>
      <c r="F24" s="558"/>
      <c r="G24" s="557"/>
      <c r="H24" s="255"/>
      <c r="I24" s="255"/>
      <c r="J24" s="251"/>
      <c r="K24" s="251"/>
      <c r="L24" s="251"/>
      <c r="M24" s="251"/>
      <c r="N24" s="255"/>
      <c r="O24" s="255"/>
      <c r="V24" s="382"/>
      <c r="W24" s="382"/>
      <c r="X24" s="382"/>
      <c r="Y24" s="85"/>
      <c r="Z24" s="2"/>
      <c r="AC24" s="2"/>
      <c r="AD24" s="18"/>
      <c r="AE24" s="2"/>
    </row>
    <row r="25" spans="3:31" x14ac:dyDescent="0.3">
      <c r="C25" s="96" t="s">
        <v>718</v>
      </c>
      <c r="D25" s="41">
        <v>2.5</v>
      </c>
      <c r="E25" s="1" t="s">
        <v>231</v>
      </c>
      <c r="F25" s="295" t="s">
        <v>884</v>
      </c>
      <c r="H25" s="255"/>
      <c r="I25" s="255"/>
      <c r="J25" s="251"/>
      <c r="K25" s="251"/>
      <c r="L25" s="251"/>
      <c r="M25" s="251"/>
      <c r="N25" s="255"/>
      <c r="O25" s="255"/>
      <c r="V25" s="382"/>
      <c r="W25" s="382"/>
      <c r="X25" s="382"/>
      <c r="Y25" s="85"/>
      <c r="Z25" s="2"/>
      <c r="AC25" s="2"/>
      <c r="AD25" s="18"/>
      <c r="AE25" s="2"/>
    </row>
    <row r="26" spans="3:31" x14ac:dyDescent="0.3">
      <c r="C26" s="393" t="s">
        <v>922</v>
      </c>
      <c r="D26" s="2">
        <f>D24*D25</f>
        <v>14777382.074999999</v>
      </c>
      <c r="F26" s="73"/>
      <c r="H26" s="255"/>
      <c r="I26" s="255"/>
      <c r="J26" s="251"/>
      <c r="K26" s="251"/>
      <c r="L26" s="251"/>
      <c r="M26" s="251"/>
      <c r="N26" s="255"/>
      <c r="O26" s="255"/>
      <c r="V26" s="382"/>
      <c r="W26" s="382"/>
      <c r="X26" s="382"/>
      <c r="Y26" s="85"/>
      <c r="Z26" s="2"/>
      <c r="AC26" s="2"/>
      <c r="AD26" s="18"/>
      <c r="AE26" s="2"/>
    </row>
    <row r="27" spans="3:31" x14ac:dyDescent="0.3">
      <c r="C27" s="96" t="s">
        <v>232</v>
      </c>
      <c r="D27" s="90">
        <f>N16</f>
        <v>3019898.8799999999</v>
      </c>
      <c r="F27" s="73"/>
      <c r="H27" s="255"/>
      <c r="I27" s="255"/>
      <c r="J27" s="251"/>
      <c r="K27" s="251"/>
      <c r="L27" s="251"/>
      <c r="M27" s="251"/>
      <c r="N27" s="255"/>
      <c r="O27" s="255"/>
      <c r="V27" s="382"/>
      <c r="W27" s="382"/>
      <c r="X27" s="382"/>
      <c r="Y27" s="85"/>
      <c r="Z27" s="2"/>
      <c r="AC27" s="2"/>
      <c r="AD27" s="18"/>
      <c r="AE27" s="2"/>
    </row>
    <row r="28" spans="3:31" x14ac:dyDescent="0.3">
      <c r="C28" s="96"/>
      <c r="F28" s="73"/>
      <c r="H28" s="255"/>
      <c r="I28" s="255"/>
      <c r="J28" s="251"/>
      <c r="K28" s="251"/>
      <c r="L28" s="251"/>
      <c r="M28" s="251"/>
      <c r="N28" s="255"/>
      <c r="O28" s="255"/>
      <c r="V28" s="382"/>
      <c r="W28" s="382"/>
      <c r="X28" s="382"/>
      <c r="Y28" s="85"/>
      <c r="Z28" s="2"/>
      <c r="AC28" s="2"/>
      <c r="AD28" s="18"/>
      <c r="AE28" s="2"/>
    </row>
    <row r="29" spans="3:31" ht="16.2" thickBot="1" x14ac:dyDescent="0.35">
      <c r="C29" s="394" t="s">
        <v>236</v>
      </c>
      <c r="D29" s="57">
        <f>D26+D27</f>
        <v>17797280.954999998</v>
      </c>
      <c r="F29" s="73"/>
      <c r="H29" s="255"/>
      <c r="I29" s="255"/>
      <c r="J29" s="251"/>
      <c r="K29" s="251"/>
      <c r="L29" s="251"/>
      <c r="M29" s="251"/>
      <c r="N29" s="255"/>
      <c r="O29" s="255"/>
      <c r="V29" s="382"/>
      <c r="W29" s="382"/>
      <c r="X29" s="382"/>
      <c r="Y29" s="85"/>
      <c r="Z29" s="2"/>
      <c r="AC29" s="2"/>
      <c r="AD29" s="18"/>
      <c r="AE29" s="2"/>
    </row>
    <row r="30" spans="3:31" x14ac:dyDescent="0.3">
      <c r="C30" s="96" t="s">
        <v>923</v>
      </c>
      <c r="D30" s="2">
        <f>D29</f>
        <v>17797280.954999998</v>
      </c>
      <c r="F30" s="73"/>
      <c r="H30" s="255"/>
      <c r="I30" s="255"/>
      <c r="J30" s="251"/>
      <c r="K30" s="251"/>
      <c r="L30" s="251"/>
      <c r="M30" s="251"/>
      <c r="N30" s="255"/>
      <c r="O30" s="255"/>
      <c r="V30" s="382"/>
      <c r="W30" s="382"/>
      <c r="X30" s="382"/>
      <c r="Y30" s="85"/>
      <c r="Z30" s="2"/>
      <c r="AC30" s="2"/>
      <c r="AD30" s="18"/>
      <c r="AE30" s="2"/>
    </row>
    <row r="31" spans="3:31" ht="16.2" thickBot="1" x14ac:dyDescent="0.35">
      <c r="C31" s="395" t="s">
        <v>235</v>
      </c>
      <c r="D31" s="69">
        <f>D29+D30</f>
        <v>35594561.909999996</v>
      </c>
      <c r="F31" s="73"/>
      <c r="H31" s="255"/>
      <c r="I31" s="255"/>
      <c r="J31" s="251"/>
      <c r="K31" s="251"/>
      <c r="L31" s="251"/>
      <c r="M31" s="251"/>
      <c r="N31" s="255"/>
      <c r="O31" s="255"/>
      <c r="V31" s="382"/>
      <c r="W31" s="382"/>
      <c r="X31" s="382"/>
      <c r="Y31" s="85"/>
      <c r="Z31" s="2"/>
      <c r="AC31" s="2"/>
      <c r="AD31" s="18"/>
      <c r="AE31" s="2"/>
    </row>
    <row r="32" spans="3:31" ht="16.2" thickTop="1" x14ac:dyDescent="0.3">
      <c r="C32" s="96"/>
      <c r="F32" s="73"/>
      <c r="H32" s="255"/>
      <c r="I32" s="255"/>
      <c r="J32" s="251"/>
      <c r="K32" s="251"/>
      <c r="L32" s="251"/>
      <c r="M32" s="251"/>
      <c r="N32" s="255"/>
      <c r="O32" s="255"/>
      <c r="V32" s="382"/>
      <c r="W32" s="382"/>
      <c r="X32" s="382"/>
      <c r="Y32" s="85"/>
      <c r="Z32" s="2"/>
      <c r="AC32" s="2"/>
      <c r="AD32" s="18"/>
      <c r="AE32" s="2"/>
    </row>
    <row r="33" spans="2:31" ht="18.600000000000001" thickBot="1" x14ac:dyDescent="0.4">
      <c r="C33" s="559" t="s">
        <v>882</v>
      </c>
      <c r="D33" s="560">
        <f>D31</f>
        <v>35594561.909999996</v>
      </c>
      <c r="E33" s="1" t="s">
        <v>809</v>
      </c>
      <c r="F33" s="73"/>
      <c r="H33" s="255"/>
      <c r="I33" s="255"/>
      <c r="J33" s="251"/>
      <c r="K33" s="251"/>
      <c r="L33" s="251"/>
      <c r="M33" s="251"/>
      <c r="N33" s="255"/>
      <c r="O33" s="255"/>
      <c r="V33" s="382"/>
      <c r="W33" s="382"/>
      <c r="X33" s="382"/>
      <c r="Y33" s="85"/>
      <c r="Z33" s="2"/>
      <c r="AC33" s="2"/>
      <c r="AD33" s="18"/>
      <c r="AE33" s="2"/>
    </row>
    <row r="34" spans="2:31" ht="16.2" thickTop="1" x14ac:dyDescent="0.3">
      <c r="F34" s="73"/>
      <c r="H34" s="255"/>
      <c r="I34" s="255"/>
      <c r="J34" s="251"/>
      <c r="K34" s="251"/>
      <c r="L34" s="251"/>
      <c r="M34" s="251"/>
      <c r="N34" s="255"/>
      <c r="O34" s="255"/>
      <c r="V34" s="382"/>
      <c r="W34" s="382"/>
      <c r="X34" s="382"/>
      <c r="Y34" s="85"/>
      <c r="Z34" s="2"/>
      <c r="AC34" s="2"/>
      <c r="AD34" s="18"/>
      <c r="AE34" s="2"/>
    </row>
    <row r="35" spans="2:31" x14ac:dyDescent="0.3">
      <c r="C35" s="92" t="s">
        <v>924</v>
      </c>
      <c r="D35" s="387"/>
      <c r="F35" s="73">
        <f>D33</f>
        <v>35594561.909999996</v>
      </c>
      <c r="G35" s="1" t="s">
        <v>1350</v>
      </c>
      <c r="H35" s="255"/>
      <c r="I35" s="255"/>
      <c r="J35" s="251"/>
      <c r="K35" s="251"/>
      <c r="L35" s="251"/>
      <c r="M35" s="251"/>
      <c r="N35" s="255"/>
      <c r="O35" s="255"/>
      <c r="V35" s="382"/>
      <c r="W35" s="382"/>
      <c r="X35" s="382"/>
      <c r="Y35" s="85"/>
      <c r="Z35" s="2"/>
      <c r="AC35" s="2"/>
      <c r="AD35" s="18"/>
      <c r="AE35" s="2"/>
    </row>
    <row r="36" spans="2:31" x14ac:dyDescent="0.3">
      <c r="C36" s="92" t="s">
        <v>925</v>
      </c>
      <c r="D36" s="387"/>
      <c r="F36" s="988">
        <v>256</v>
      </c>
      <c r="H36" s="255"/>
      <c r="I36" s="255"/>
      <c r="J36" s="251"/>
      <c r="K36" s="251"/>
      <c r="L36" s="251"/>
      <c r="M36" s="251"/>
      <c r="N36" s="255"/>
      <c r="O36" s="255"/>
      <c r="V36" s="382"/>
      <c r="W36" s="382"/>
      <c r="X36" s="382"/>
      <c r="Y36" s="85"/>
      <c r="Z36" s="2"/>
      <c r="AC36" s="2"/>
      <c r="AD36" s="18"/>
      <c r="AE36" s="2"/>
    </row>
    <row r="37" spans="2:31" x14ac:dyDescent="0.3">
      <c r="C37" s="92" t="s">
        <v>719</v>
      </c>
      <c r="D37" s="387"/>
      <c r="F37" s="73">
        <f>F35*F36</f>
        <v>9112207848.9599991</v>
      </c>
      <c r="G37" s="1" t="s">
        <v>1351</v>
      </c>
      <c r="H37" s="255"/>
      <c r="I37" s="255"/>
      <c r="J37" s="251"/>
      <c r="K37" s="251"/>
      <c r="L37" s="251"/>
      <c r="M37" s="251"/>
      <c r="N37" s="255"/>
      <c r="O37" s="255"/>
      <c r="V37" s="382"/>
      <c r="W37" s="382"/>
      <c r="X37" s="382"/>
      <c r="Y37" s="85"/>
      <c r="Z37" s="2"/>
      <c r="AC37" s="2"/>
      <c r="AD37" s="18"/>
      <c r="AE37" s="2"/>
    </row>
    <row r="38" spans="2:31" x14ac:dyDescent="0.3">
      <c r="F38" s="988">
        <v>2</v>
      </c>
      <c r="H38" s="255"/>
      <c r="I38" s="255"/>
      <c r="J38" s="251"/>
      <c r="K38" s="251"/>
      <c r="L38" s="251"/>
      <c r="M38" s="251"/>
      <c r="N38" s="255"/>
      <c r="O38" s="255"/>
      <c r="V38" s="382"/>
      <c r="W38" s="382"/>
      <c r="X38" s="382"/>
      <c r="Y38" s="85"/>
      <c r="Z38" s="2"/>
      <c r="AC38" s="2"/>
      <c r="AD38" s="18"/>
      <c r="AE38" s="2"/>
    </row>
    <row r="39" spans="2:31" x14ac:dyDescent="0.3">
      <c r="F39" s="73">
        <f>F37*F38</f>
        <v>18224415697.919998</v>
      </c>
      <c r="G39" s="1" t="s">
        <v>1352</v>
      </c>
      <c r="H39" s="255"/>
      <c r="I39" s="255"/>
      <c r="J39" s="251"/>
      <c r="K39" s="251"/>
      <c r="L39" s="251"/>
      <c r="M39" s="251"/>
      <c r="N39" s="255"/>
      <c r="O39" s="255"/>
      <c r="V39" s="382"/>
      <c r="W39" s="382"/>
      <c r="X39" s="382"/>
      <c r="Y39" s="85"/>
      <c r="Z39" s="2"/>
      <c r="AC39" s="2"/>
      <c r="AD39" s="18"/>
      <c r="AE39" s="2"/>
    </row>
    <row r="40" spans="2:31" x14ac:dyDescent="0.3">
      <c r="F40" s="73">
        <v>2</v>
      </c>
      <c r="H40" s="255"/>
      <c r="I40" s="255"/>
      <c r="J40" s="251"/>
      <c r="K40" s="251"/>
      <c r="L40" s="251"/>
      <c r="M40" s="251"/>
      <c r="N40" s="255"/>
      <c r="O40" s="255"/>
      <c r="V40" s="382"/>
      <c r="W40" s="382"/>
      <c r="X40" s="382"/>
      <c r="Y40" s="85"/>
      <c r="Z40" s="2"/>
      <c r="AC40" s="2"/>
      <c r="AD40" s="18"/>
      <c r="AE40" s="2"/>
    </row>
    <row r="41" spans="2:31" ht="18" x14ac:dyDescent="0.35">
      <c r="C41" s="322" t="s">
        <v>883</v>
      </c>
      <c r="F41" s="73">
        <f>F39*F40</f>
        <v>36448831395.839996</v>
      </c>
      <c r="G41" s="1" t="s">
        <v>1353</v>
      </c>
      <c r="H41" s="990">
        <v>28522343388.5</v>
      </c>
      <c r="I41" s="989" t="s">
        <v>1354</v>
      </c>
      <c r="J41" s="251"/>
      <c r="K41" s="251"/>
      <c r="L41" s="251"/>
      <c r="M41" s="251"/>
      <c r="N41" s="255"/>
      <c r="O41" s="255"/>
      <c r="V41" s="382"/>
      <c r="W41" s="382"/>
      <c r="X41" s="382"/>
      <c r="Y41" s="85"/>
      <c r="Z41" s="2"/>
      <c r="AC41" s="2"/>
      <c r="AD41" s="18"/>
      <c r="AE41" s="2"/>
    </row>
    <row r="42" spans="2:31" x14ac:dyDescent="0.3">
      <c r="H42" s="32">
        <f>F41/H41</f>
        <v>1.2779045150454187</v>
      </c>
      <c r="J42" s="88"/>
      <c r="K42" s="88"/>
      <c r="L42" s="88"/>
    </row>
    <row r="43" spans="2:31" ht="16.2" customHeight="1" x14ac:dyDescent="0.3">
      <c r="C43" s="235" t="s">
        <v>685</v>
      </c>
      <c r="D43" s="235" t="s">
        <v>686</v>
      </c>
      <c r="E43" s="235"/>
      <c r="F43" s="235"/>
      <c r="J43" s="88"/>
      <c r="K43" s="88"/>
      <c r="L43" s="345"/>
    </row>
    <row r="44" spans="2:31" x14ac:dyDescent="0.3">
      <c r="D44" s="41" t="s">
        <v>219</v>
      </c>
      <c r="F44" s="341">
        <v>35</v>
      </c>
      <c r="J44" s="88"/>
      <c r="K44" s="88"/>
      <c r="L44" s="88"/>
    </row>
    <row r="45" spans="2:31" x14ac:dyDescent="0.3">
      <c r="D45" s="41" t="s">
        <v>208</v>
      </c>
      <c r="F45" s="341">
        <v>80</v>
      </c>
    </row>
    <row r="46" spans="2:31" x14ac:dyDescent="0.3">
      <c r="B46" s="1" t="s">
        <v>926</v>
      </c>
      <c r="D46" s="41" t="s">
        <v>928</v>
      </c>
      <c r="F46" s="341">
        <v>20</v>
      </c>
    </row>
    <row r="47" spans="2:31" x14ac:dyDescent="0.3">
      <c r="B47" s="1" t="s">
        <v>927</v>
      </c>
      <c r="D47" s="41" t="s">
        <v>222</v>
      </c>
      <c r="F47" s="341" t="s">
        <v>221</v>
      </c>
    </row>
    <row r="48" spans="2:31" x14ac:dyDescent="0.3">
      <c r="D48" s="41" t="s">
        <v>220</v>
      </c>
      <c r="F48" s="341" t="s">
        <v>929</v>
      </c>
    </row>
    <row r="49" spans="3:12" x14ac:dyDescent="0.3">
      <c r="D49" s="41" t="s">
        <v>223</v>
      </c>
      <c r="F49" s="341">
        <v>5</v>
      </c>
      <c r="H49" s="2">
        <f>H56*215%</f>
        <v>301</v>
      </c>
    </row>
    <row r="50" spans="3:12" x14ac:dyDescent="0.3">
      <c r="D50" s="41" t="s">
        <v>209</v>
      </c>
      <c r="F50" s="341">
        <v>10</v>
      </c>
    </row>
    <row r="51" spans="3:12" x14ac:dyDescent="0.3">
      <c r="D51" s="41" t="s">
        <v>210</v>
      </c>
      <c r="F51" s="35">
        <v>30</v>
      </c>
    </row>
    <row r="52" spans="3:12" x14ac:dyDescent="0.3">
      <c r="D52" s="41" t="s">
        <v>869</v>
      </c>
      <c r="F52" s="35" t="s">
        <v>868</v>
      </c>
    </row>
    <row r="53" spans="3:12" x14ac:dyDescent="0.3">
      <c r="D53" s="342" t="s">
        <v>704</v>
      </c>
      <c r="E53" s="34"/>
      <c r="F53" s="35">
        <f>SUM(F43:F51)</f>
        <v>180</v>
      </c>
      <c r="G53" s="34" t="s">
        <v>687</v>
      </c>
      <c r="H53" s="76" t="s">
        <v>690</v>
      </c>
      <c r="I53" s="34" t="s">
        <v>212</v>
      </c>
      <c r="J53" s="34" t="s">
        <v>213</v>
      </c>
      <c r="K53" s="34" t="s">
        <v>688</v>
      </c>
      <c r="L53" s="34" t="s">
        <v>870</v>
      </c>
    </row>
    <row r="54" spans="3:12" x14ac:dyDescent="0.3">
      <c r="D54" s="342"/>
      <c r="E54" s="34"/>
      <c r="F54" s="35"/>
      <c r="G54" s="34"/>
      <c r="H54" s="76"/>
      <c r="I54" s="34"/>
      <c r="J54" s="34"/>
      <c r="K54" s="34"/>
      <c r="L54" s="34"/>
    </row>
    <row r="55" spans="3:12" x14ac:dyDescent="0.3">
      <c r="D55" s="346" t="s">
        <v>75</v>
      </c>
      <c r="E55" s="188"/>
      <c r="F55" s="340"/>
      <c r="G55" s="340">
        <f>H55*2</f>
        <v>640</v>
      </c>
      <c r="H55" s="340">
        <v>320</v>
      </c>
      <c r="I55" s="340">
        <v>350</v>
      </c>
      <c r="J55" s="340">
        <v>370</v>
      </c>
      <c r="K55" s="340">
        <v>400</v>
      </c>
      <c r="L55" s="340">
        <f>H55</f>
        <v>320</v>
      </c>
    </row>
    <row r="56" spans="3:12" ht="16.2" thickBot="1" x14ac:dyDescent="0.35">
      <c r="D56" s="347" t="s">
        <v>214</v>
      </c>
      <c r="E56" s="348"/>
      <c r="F56" s="348"/>
      <c r="G56" s="347"/>
      <c r="H56" s="347">
        <f>H55-F53</f>
        <v>140</v>
      </c>
      <c r="I56" s="347">
        <f>I55-F53</f>
        <v>170</v>
      </c>
      <c r="J56" s="347">
        <f>J55-F53</f>
        <v>190</v>
      </c>
      <c r="K56" s="347">
        <f>K55-F53</f>
        <v>220</v>
      </c>
      <c r="L56" s="347">
        <f>H56</f>
        <v>140</v>
      </c>
    </row>
    <row r="57" spans="3:12" ht="18" x14ac:dyDescent="0.35">
      <c r="H57" s="401">
        <f>H56/H55</f>
        <v>0.4375</v>
      </c>
      <c r="I57" s="396" t="s">
        <v>722</v>
      </c>
      <c r="J57" s="191"/>
    </row>
    <row r="58" spans="3:12" x14ac:dyDescent="0.3">
      <c r="D58" s="41" t="s">
        <v>215</v>
      </c>
      <c r="F58" s="349">
        <v>50000</v>
      </c>
      <c r="H58" s="193"/>
      <c r="J58" s="88"/>
    </row>
    <row r="59" spans="3:12" x14ac:dyDescent="0.3">
      <c r="D59" s="41" t="s">
        <v>217</v>
      </c>
      <c r="F59" s="350">
        <v>0.25</v>
      </c>
      <c r="H59" s="193"/>
      <c r="J59" s="88"/>
    </row>
    <row r="60" spans="3:12" x14ac:dyDescent="0.3">
      <c r="D60" s="41"/>
      <c r="F60" s="349">
        <f>F58*F59</f>
        <v>12500</v>
      </c>
      <c r="H60" s="193"/>
      <c r="J60" s="88"/>
    </row>
    <row r="61" spans="3:12" x14ac:dyDescent="0.3">
      <c r="D61" s="41" t="s">
        <v>216</v>
      </c>
      <c r="F61" s="76">
        <v>10</v>
      </c>
      <c r="H61" s="193"/>
      <c r="I61" s="76" t="s">
        <v>691</v>
      </c>
      <c r="J61" s="88"/>
    </row>
    <row r="62" spans="3:12" x14ac:dyDescent="0.3">
      <c r="D62" s="41" t="s">
        <v>218</v>
      </c>
      <c r="F62" s="351">
        <f>F60*F61</f>
        <v>125000</v>
      </c>
      <c r="G62" s="78">
        <f>F62*H55</f>
        <v>40000000</v>
      </c>
      <c r="H62" s="76" t="s">
        <v>689</v>
      </c>
      <c r="I62" s="76" t="s">
        <v>705</v>
      </c>
      <c r="J62" s="88"/>
    </row>
    <row r="63" spans="3:12" x14ac:dyDescent="0.3">
      <c r="D63" s="337" t="s">
        <v>692</v>
      </c>
      <c r="F63" s="352">
        <f>H56</f>
        <v>140</v>
      </c>
      <c r="G63" s="193"/>
      <c r="H63" s="193"/>
      <c r="I63" s="76"/>
      <c r="J63" s="88"/>
    </row>
    <row r="64" spans="3:12" ht="16.2" thickBot="1" x14ac:dyDescent="0.35">
      <c r="C64" s="88"/>
      <c r="D64" s="337" t="s">
        <v>693</v>
      </c>
      <c r="F64" s="347">
        <f>F62*F63</f>
        <v>17500000</v>
      </c>
      <c r="I64" s="76"/>
      <c r="J64" s="88"/>
    </row>
    <row r="65" spans="2:14" x14ac:dyDescent="0.3">
      <c r="C65" s="88"/>
      <c r="D65" s="41" t="s">
        <v>694</v>
      </c>
      <c r="F65" s="354">
        <v>4</v>
      </c>
      <c r="G65" s="252"/>
      <c r="H65" s="76">
        <v>4</v>
      </c>
      <c r="I65" s="76"/>
      <c r="J65" s="88"/>
    </row>
    <row r="66" spans="2:14" ht="16.2" thickBot="1" x14ac:dyDescent="0.35">
      <c r="B66" s="78">
        <f>F66</f>
        <v>4375000</v>
      </c>
      <c r="C66" s="76"/>
      <c r="D66" s="355" t="s">
        <v>695</v>
      </c>
      <c r="E66" s="356"/>
      <c r="F66" s="357">
        <f>F64/F65</f>
        <v>4375000</v>
      </c>
      <c r="G66" s="602">
        <f>H66/F66</f>
        <v>2.2857142857142856</v>
      </c>
      <c r="H66" s="78">
        <f>G62/H65</f>
        <v>10000000</v>
      </c>
      <c r="I66" s="76" t="s">
        <v>871</v>
      </c>
      <c r="J66" s="76"/>
      <c r="K66" s="78">
        <f>H66</f>
        <v>10000000</v>
      </c>
    </row>
    <row r="67" spans="2:14" x14ac:dyDescent="0.3">
      <c r="C67" s="88"/>
      <c r="G67" s="367">
        <f>F66*G66</f>
        <v>10000000</v>
      </c>
      <c r="H67" s="601"/>
      <c r="I67" s="253"/>
      <c r="J67" s="253"/>
      <c r="K67" s="83">
        <f>I78</f>
        <v>5000000</v>
      </c>
    </row>
    <row r="68" spans="2:14" x14ac:dyDescent="0.3">
      <c r="B68" s="237" t="s">
        <v>367</v>
      </c>
      <c r="C68" s="88"/>
      <c r="D68" s="366" t="s">
        <v>696</v>
      </c>
      <c r="E68" s="237"/>
      <c r="F68" s="237"/>
      <c r="G68" s="237"/>
      <c r="H68" s="600"/>
      <c r="I68" s="253"/>
      <c r="J68" s="253"/>
      <c r="K68" s="554">
        <f>K66+K67</f>
        <v>15000000</v>
      </c>
      <c r="L68" s="1" t="s">
        <v>729</v>
      </c>
    </row>
    <row r="69" spans="2:14" x14ac:dyDescent="0.3">
      <c r="B69" s="343">
        <f>F69</f>
        <v>267968.75</v>
      </c>
      <c r="C69" s="361"/>
      <c r="D69" s="237" t="s">
        <v>697</v>
      </c>
      <c r="E69" s="358">
        <v>6.1249999999999999E-2</v>
      </c>
      <c r="F69" s="343">
        <f>F66*E69</f>
        <v>267968.75</v>
      </c>
      <c r="G69" s="343"/>
      <c r="H69" s="580"/>
      <c r="I69" s="579"/>
      <c r="J69" s="608" t="s">
        <v>930</v>
      </c>
      <c r="K69" s="343">
        <f>I72</f>
        <v>3112500</v>
      </c>
      <c r="L69" s="1" t="s">
        <v>949</v>
      </c>
    </row>
    <row r="70" spans="2:14" ht="18.600000000000001" thickBot="1" x14ac:dyDescent="0.4">
      <c r="B70" s="343">
        <f>F70</f>
        <v>546875</v>
      </c>
      <c r="C70" s="361"/>
      <c r="D70" s="237" t="s">
        <v>365</v>
      </c>
      <c r="E70" s="359">
        <v>0.125</v>
      </c>
      <c r="F70" s="343">
        <f>F66*E70</f>
        <v>546875</v>
      </c>
      <c r="G70" s="343"/>
      <c r="H70" s="90"/>
      <c r="I70" s="577"/>
      <c r="K70" s="556">
        <f>K68+K69</f>
        <v>18112500</v>
      </c>
      <c r="L70" s="1" t="s">
        <v>950</v>
      </c>
    </row>
    <row r="71" spans="2:14" ht="16.2" thickTop="1" x14ac:dyDescent="0.3">
      <c r="B71" s="343">
        <f>F71</f>
        <v>546875</v>
      </c>
      <c r="C71" s="361"/>
      <c r="D71" s="237" t="s">
        <v>243</v>
      </c>
      <c r="E71" s="359">
        <v>0.125</v>
      </c>
      <c r="F71" s="343">
        <f>F66*E71</f>
        <v>546875</v>
      </c>
      <c r="G71" s="363"/>
      <c r="I71" s="229"/>
      <c r="J71" s="253">
        <v>32</v>
      </c>
      <c r="K71" s="225">
        <f>J71*K70</f>
        <v>579600000</v>
      </c>
      <c r="L71" s="1" t="s">
        <v>732</v>
      </c>
    </row>
    <row r="72" spans="2:14" ht="16.2" thickBot="1" x14ac:dyDescent="0.35">
      <c r="B72" s="353">
        <f>SUM(B69:B71)</f>
        <v>1361718.75</v>
      </c>
      <c r="C72" s="361"/>
      <c r="D72" s="603" t="s">
        <v>815</v>
      </c>
      <c r="E72" s="604"/>
      <c r="F72" s="372">
        <f>SUM(F69:F71)</f>
        <v>1361718.75</v>
      </c>
      <c r="G72" s="605">
        <f>F72/F83</f>
        <v>0.17184265010351968</v>
      </c>
      <c r="H72" s="606">
        <f>G66</f>
        <v>2.2857142857142856</v>
      </c>
      <c r="I72" s="607">
        <f>F72*H72</f>
        <v>3112500</v>
      </c>
      <c r="J72" s="1">
        <f>J71*2</f>
        <v>64</v>
      </c>
      <c r="K72" s="225">
        <f>J72*K70</f>
        <v>1159200000</v>
      </c>
      <c r="L72" s="1" t="s">
        <v>732</v>
      </c>
    </row>
    <row r="73" spans="2:14" x14ac:dyDescent="0.3">
      <c r="B73" s="91"/>
      <c r="C73" s="361"/>
      <c r="D73" s="364"/>
      <c r="E73" s="365"/>
      <c r="F73" s="91"/>
      <c r="G73" s="362"/>
      <c r="J73" s="75">
        <f>J72*2</f>
        <v>128</v>
      </c>
      <c r="K73" s="79">
        <f>J73*K70</f>
        <v>2318400000</v>
      </c>
      <c r="L73" s="75" t="s">
        <v>732</v>
      </c>
      <c r="M73" s="75"/>
      <c r="N73" s="75" t="s">
        <v>731</v>
      </c>
    </row>
    <row r="74" spans="2:14" x14ac:dyDescent="0.3">
      <c r="B74" s="1" t="s">
        <v>698</v>
      </c>
      <c r="C74" s="361"/>
      <c r="D74" s="1" t="s">
        <v>698</v>
      </c>
      <c r="E74" s="18"/>
      <c r="F74" s="2"/>
      <c r="G74" s="362"/>
      <c r="J74" s="563">
        <f>J73*2</f>
        <v>256</v>
      </c>
      <c r="K74" s="472">
        <f>J74*K70</f>
        <v>4636800000</v>
      </c>
      <c r="L74" s="563" t="s">
        <v>732</v>
      </c>
      <c r="M74" s="563"/>
      <c r="N74" s="563" t="s">
        <v>730</v>
      </c>
    </row>
    <row r="75" spans="2:14" x14ac:dyDescent="0.3">
      <c r="B75" s="83">
        <f>F75</f>
        <v>546875</v>
      </c>
      <c r="C75" s="361"/>
      <c r="D75" s="37" t="s">
        <v>366</v>
      </c>
      <c r="E75" s="407">
        <v>0.125</v>
      </c>
      <c r="F75" s="408">
        <f>F66*E75</f>
        <v>546875</v>
      </c>
      <c r="G75" s="229"/>
      <c r="J75" s="76">
        <f>J74*2</f>
        <v>512</v>
      </c>
      <c r="K75" s="78">
        <f>J75*K70</f>
        <v>9273600000</v>
      </c>
      <c r="L75" s="76" t="s">
        <v>732</v>
      </c>
      <c r="M75" s="76"/>
      <c r="N75" s="76" t="s">
        <v>951</v>
      </c>
    </row>
    <row r="76" spans="2:14" x14ac:dyDescent="0.3">
      <c r="B76" s="83">
        <f>F76</f>
        <v>546875</v>
      </c>
      <c r="C76" s="361"/>
      <c r="D76" s="37" t="s">
        <v>931</v>
      </c>
      <c r="E76" s="407">
        <v>0.125</v>
      </c>
      <c r="F76" s="408">
        <f>F66*E76</f>
        <v>546875</v>
      </c>
      <c r="G76" s="229"/>
      <c r="J76" s="75">
        <f>J75*2</f>
        <v>1024</v>
      </c>
      <c r="K76" s="79">
        <f>J76*K70</f>
        <v>18547200000</v>
      </c>
      <c r="L76" s="75" t="s">
        <v>732</v>
      </c>
      <c r="M76" s="75"/>
      <c r="N76" s="75" t="s">
        <v>971</v>
      </c>
    </row>
    <row r="77" spans="2:14" x14ac:dyDescent="0.3">
      <c r="B77" s="83">
        <f>F77</f>
        <v>1093750</v>
      </c>
      <c r="C77" s="38"/>
      <c r="D77" s="37" t="s">
        <v>699</v>
      </c>
      <c r="E77" s="409">
        <v>0.25</v>
      </c>
      <c r="F77" s="408">
        <f>F66*E77</f>
        <v>1093750</v>
      </c>
      <c r="G77" s="229"/>
      <c r="I77" s="1" t="s">
        <v>728</v>
      </c>
      <c r="J77" s="76">
        <f t="shared" ref="J77:J80" si="5">J76*2</f>
        <v>2048</v>
      </c>
      <c r="K77" s="78">
        <f>K70*J77</f>
        <v>37094400000</v>
      </c>
      <c r="L77" s="76" t="s">
        <v>732</v>
      </c>
      <c r="M77" s="76"/>
      <c r="N77" s="76" t="s">
        <v>975</v>
      </c>
    </row>
    <row r="78" spans="2:14" ht="16.2" thickBot="1" x14ac:dyDescent="0.35">
      <c r="B78" s="205">
        <f>SUM(B75:B77)</f>
        <v>2187500</v>
      </c>
      <c r="C78" s="38"/>
      <c r="D78" s="7"/>
      <c r="E78" s="215"/>
      <c r="F78" s="408">
        <f>SUM(F75:F77)</f>
        <v>2187500</v>
      </c>
      <c r="G78" s="74" t="s">
        <v>932</v>
      </c>
      <c r="H78" s="602">
        <f>G66</f>
        <v>2.2857142857142856</v>
      </c>
      <c r="I78" s="83">
        <f>F78*H78</f>
        <v>5000000</v>
      </c>
      <c r="J78" s="563">
        <f t="shared" si="5"/>
        <v>4096</v>
      </c>
      <c r="K78" s="472">
        <f>K70*J78</f>
        <v>74188800000</v>
      </c>
      <c r="L78" s="563" t="s">
        <v>732</v>
      </c>
      <c r="M78" s="563"/>
      <c r="N78" s="563" t="s">
        <v>976</v>
      </c>
    </row>
    <row r="79" spans="2:14" ht="16.2" thickTop="1" x14ac:dyDescent="0.3">
      <c r="B79" s="1" t="s">
        <v>873</v>
      </c>
      <c r="C79" s="38"/>
      <c r="D79" s="7"/>
      <c r="E79" s="215"/>
      <c r="F79" s="412"/>
      <c r="G79" s="229"/>
      <c r="H79" s="253"/>
      <c r="I79" s="88"/>
      <c r="J79" s="76">
        <f t="shared" si="5"/>
        <v>8192</v>
      </c>
      <c r="K79" s="78">
        <f>K70*J79</f>
        <v>148377600000</v>
      </c>
      <c r="L79" s="76" t="s">
        <v>732</v>
      </c>
      <c r="M79" s="76"/>
      <c r="N79" s="76" t="s">
        <v>977</v>
      </c>
    </row>
    <row r="80" spans="2:14" x14ac:dyDescent="0.3">
      <c r="B80" s="101">
        <f>B66</f>
        <v>4375000</v>
      </c>
      <c r="C80" s="38"/>
      <c r="D80" s="7"/>
      <c r="E80" s="215"/>
      <c r="F80" s="123">
        <f>F66</f>
        <v>4375000</v>
      </c>
      <c r="G80" s="229"/>
      <c r="J80" s="75">
        <f t="shared" si="5"/>
        <v>16384</v>
      </c>
      <c r="K80" s="79">
        <f>K70*J80</f>
        <v>296755200000</v>
      </c>
      <c r="L80" s="75" t="s">
        <v>732</v>
      </c>
      <c r="M80" s="75"/>
      <c r="N80" s="75" t="s">
        <v>978</v>
      </c>
    </row>
    <row r="81" spans="2:12" x14ac:dyDescent="0.3">
      <c r="B81" s="101"/>
      <c r="C81" s="38"/>
      <c r="D81" s="7"/>
      <c r="E81" s="215"/>
      <c r="F81" s="372">
        <f>F72</f>
        <v>1361718.75</v>
      </c>
      <c r="G81" s="229"/>
      <c r="J81" s="88"/>
      <c r="K81" s="88"/>
      <c r="L81" s="88"/>
    </row>
    <row r="82" spans="2:12" ht="16.2" thickBot="1" x14ac:dyDescent="0.35">
      <c r="B82" s="209">
        <f>B78+B80</f>
        <v>6562500</v>
      </c>
      <c r="C82" s="364"/>
      <c r="D82" s="7"/>
      <c r="E82" s="215"/>
      <c r="F82" s="408">
        <f>F78</f>
        <v>2187500</v>
      </c>
      <c r="G82" s="88"/>
      <c r="J82" s="88"/>
      <c r="K82" s="88"/>
      <c r="L82" s="88"/>
    </row>
    <row r="83" spans="2:12" ht="16.8" thickTop="1" thickBot="1" x14ac:dyDescent="0.35">
      <c r="C83" s="91"/>
      <c r="D83" s="404" t="s">
        <v>807</v>
      </c>
      <c r="E83" s="405"/>
      <c r="F83" s="406">
        <f>SUM(F80:F82)</f>
        <v>7924218.75</v>
      </c>
      <c r="J83" s="88"/>
      <c r="K83" s="88"/>
      <c r="L83" s="88"/>
    </row>
    <row r="84" spans="2:12" x14ac:dyDescent="0.3">
      <c r="B84" s="2">
        <f>B69+B70+B71</f>
        <v>1361718.75</v>
      </c>
      <c r="C84" s="91"/>
      <c r="D84" s="371"/>
      <c r="E84" s="106"/>
      <c r="F84" s="91"/>
      <c r="G84" s="107"/>
      <c r="H84" s="106"/>
      <c r="I84" s="106"/>
      <c r="J84" s="88"/>
      <c r="K84" s="88"/>
      <c r="L84" s="88"/>
    </row>
    <row r="85" spans="2:12" x14ac:dyDescent="0.3">
      <c r="B85" s="1" t="s">
        <v>574</v>
      </c>
      <c r="C85" s="91"/>
      <c r="D85" s="1"/>
      <c r="H85" s="106"/>
      <c r="I85" s="106"/>
      <c r="J85" s="88"/>
      <c r="K85" s="88"/>
      <c r="L85" s="88"/>
    </row>
    <row r="86" spans="2:12" ht="18" x14ac:dyDescent="0.35">
      <c r="B86" s="208">
        <f>B84/B82</f>
        <v>0.20749999999999999</v>
      </c>
      <c r="C86" s="345"/>
      <c r="D86" s="374" t="s">
        <v>706</v>
      </c>
      <c r="E86" s="134"/>
      <c r="F86" s="135"/>
      <c r="G86" s="107"/>
      <c r="H86" s="106"/>
      <c r="I86" s="106"/>
      <c r="J86" s="88"/>
      <c r="K86" s="88"/>
      <c r="L86" s="88"/>
    </row>
    <row r="87" spans="2:12" x14ac:dyDescent="0.3">
      <c r="C87" s="345"/>
      <c r="D87" s="371"/>
      <c r="E87" s="106"/>
      <c r="F87" s="228">
        <f>'POP Dimensions'!C14</f>
        <v>1342177.28</v>
      </c>
      <c r="G87" s="375" t="s">
        <v>700</v>
      </c>
      <c r="H87" s="226" t="s">
        <v>703</v>
      </c>
      <c r="I87" s="226"/>
      <c r="J87" s="88"/>
      <c r="K87" s="88"/>
      <c r="L87" s="88"/>
    </row>
    <row r="88" spans="2:12" ht="18" x14ac:dyDescent="0.35">
      <c r="B88" s="322" t="s">
        <v>575</v>
      </c>
      <c r="C88" s="100"/>
      <c r="D88" s="371"/>
      <c r="F88" s="226">
        <v>3</v>
      </c>
    </row>
    <row r="89" spans="2:12" x14ac:dyDescent="0.3">
      <c r="B89" s="102">
        <f>B94-B86</f>
        <v>0.79249999999999998</v>
      </c>
      <c r="C89" s="345"/>
      <c r="D89" s="371"/>
      <c r="E89" s="373" t="s">
        <v>701</v>
      </c>
      <c r="F89" s="228">
        <f>F87*F88</f>
        <v>4026531.8399999999</v>
      </c>
      <c r="G89" s="226" t="s">
        <v>229</v>
      </c>
    </row>
    <row r="90" spans="2:12" x14ac:dyDescent="0.3">
      <c r="C90" s="88"/>
      <c r="F90" s="2"/>
      <c r="G90" s="226"/>
    </row>
    <row r="91" spans="2:12" x14ac:dyDescent="0.3">
      <c r="D91" s="108"/>
      <c r="E91" s="360" t="s">
        <v>702</v>
      </c>
      <c r="F91" s="108">
        <f>F83-F89</f>
        <v>3897686.91</v>
      </c>
      <c r="G91" s="109" t="s">
        <v>933</v>
      </c>
      <c r="H91" s="109"/>
      <c r="I91" s="109" t="s">
        <v>934</v>
      </c>
      <c r="J91" s="109"/>
    </row>
    <row r="92" spans="2:12" x14ac:dyDescent="0.3">
      <c r="F92" s="2"/>
      <c r="G92" s="375"/>
      <c r="J92" s="109"/>
    </row>
    <row r="93" spans="2:12" x14ac:dyDescent="0.3">
      <c r="F93" s="2"/>
      <c r="G93" s="226"/>
      <c r="J93" s="109"/>
    </row>
    <row r="94" spans="2:12" ht="16.2" thickBot="1" x14ac:dyDescent="0.35">
      <c r="B94" s="510">
        <v>1</v>
      </c>
      <c r="D94" s="368" t="s">
        <v>707</v>
      </c>
      <c r="E94" s="369"/>
      <c r="F94" s="370">
        <f>F89</f>
        <v>4026531.8399999999</v>
      </c>
      <c r="G94" s="226"/>
      <c r="J94" s="109"/>
    </row>
    <row r="95" spans="2:12" x14ac:dyDescent="0.3">
      <c r="D95" s="371"/>
      <c r="E95" s="106"/>
      <c r="F95" s="91"/>
      <c r="G95" s="88"/>
      <c r="J95" s="109"/>
    </row>
    <row r="96" spans="2:12" x14ac:dyDescent="0.3">
      <c r="D96" s="371"/>
      <c r="E96" s="106"/>
      <c r="F96" s="91"/>
      <c r="G96" s="88"/>
      <c r="J96" s="109"/>
    </row>
    <row r="97" spans="2:15" x14ac:dyDescent="0.3">
      <c r="D97" s="376" t="s">
        <v>225</v>
      </c>
      <c r="E97" s="102">
        <v>0.5</v>
      </c>
      <c r="F97" s="101">
        <f>F94*E97</f>
        <v>2013265.9199999999</v>
      </c>
      <c r="G97" s="103" t="s">
        <v>708</v>
      </c>
      <c r="H97" s="103" t="s">
        <v>226</v>
      </c>
      <c r="I97" s="103" t="s">
        <v>227</v>
      </c>
      <c r="J97" s="109"/>
    </row>
    <row r="98" spans="2:15" x14ac:dyDescent="0.3">
      <c r="E98" s="102"/>
      <c r="F98" s="2"/>
      <c r="G98" s="102">
        <v>0.5</v>
      </c>
      <c r="H98" s="102">
        <v>0.5</v>
      </c>
      <c r="I98" s="18">
        <v>0</v>
      </c>
      <c r="J98" s="109"/>
    </row>
    <row r="99" spans="2:15" x14ac:dyDescent="0.3">
      <c r="E99" s="102"/>
      <c r="F99" s="2"/>
      <c r="G99" s="101">
        <f>F97*G98</f>
        <v>1006632.96</v>
      </c>
      <c r="H99" s="101">
        <f>F97*H98</f>
        <v>1006632.96</v>
      </c>
      <c r="I99" s="2">
        <f>F97*I98</f>
        <v>0</v>
      </c>
      <c r="J99" s="109"/>
    </row>
    <row r="100" spans="2:15" x14ac:dyDescent="0.3">
      <c r="D100" s="390" t="s">
        <v>224</v>
      </c>
      <c r="E100" s="98">
        <v>0.5</v>
      </c>
      <c r="F100" s="97">
        <f>F94*E100</f>
        <v>2013265.9199999999</v>
      </c>
      <c r="G100" s="96"/>
      <c r="H100" s="96"/>
      <c r="I100" s="98">
        <v>1</v>
      </c>
      <c r="J100" s="109"/>
    </row>
    <row r="101" spans="2:15" x14ac:dyDescent="0.3">
      <c r="E101" s="103"/>
      <c r="I101" s="391">
        <f>F100*I100</f>
        <v>2013265.9199999999</v>
      </c>
      <c r="J101" s="109"/>
    </row>
    <row r="102" spans="2:15" x14ac:dyDescent="0.3">
      <c r="E102" s="103"/>
      <c r="I102" s="97">
        <f>I99+I101</f>
        <v>2013265.9199999999</v>
      </c>
      <c r="J102" s="96" t="s">
        <v>935</v>
      </c>
      <c r="K102" s="96"/>
    </row>
    <row r="103" spans="2:15" x14ac:dyDescent="0.3">
      <c r="E103" s="103"/>
      <c r="I103" s="96"/>
      <c r="J103" s="109"/>
    </row>
    <row r="104" spans="2:15" x14ac:dyDescent="0.3">
      <c r="E104" s="103"/>
      <c r="H104" s="109" t="s">
        <v>706</v>
      </c>
      <c r="I104" s="108">
        <f>F91</f>
        <v>3897686.91</v>
      </c>
      <c r="J104" s="109" t="s">
        <v>720</v>
      </c>
    </row>
    <row r="105" spans="2:15" x14ac:dyDescent="0.3">
      <c r="E105" s="103"/>
      <c r="H105" s="109"/>
      <c r="I105" s="96"/>
    </row>
    <row r="106" spans="2:15" s="322" customFormat="1" ht="18.600000000000001" thickBot="1" x14ac:dyDescent="0.4">
      <c r="C106" s="377" t="s">
        <v>228</v>
      </c>
      <c r="D106" s="378">
        <f>I106</f>
        <v>5910952.8300000001</v>
      </c>
      <c r="E106" s="379"/>
      <c r="F106" s="377"/>
      <c r="G106" s="377"/>
      <c r="H106" s="380" t="s">
        <v>228</v>
      </c>
      <c r="I106" s="381">
        <f>I102+I104</f>
        <v>5910952.8300000001</v>
      </c>
    </row>
    <row r="107" spans="2:15" x14ac:dyDescent="0.3">
      <c r="E107" s="103"/>
    </row>
    <row r="108" spans="2:15" x14ac:dyDescent="0.3">
      <c r="E108" s="103"/>
    </row>
    <row r="109" spans="2:15" x14ac:dyDescent="0.3">
      <c r="C109" s="76" t="s">
        <v>843</v>
      </c>
      <c r="D109" s="78"/>
      <c r="E109" s="104"/>
      <c r="F109" s="76" t="s">
        <v>198</v>
      </c>
      <c r="G109" s="76" t="s">
        <v>230</v>
      </c>
      <c r="H109" s="76" t="s">
        <v>201</v>
      </c>
      <c r="I109" s="76" t="s">
        <v>203</v>
      </c>
      <c r="J109" s="76" t="s">
        <v>202</v>
      </c>
      <c r="K109" s="76" t="s">
        <v>204</v>
      </c>
      <c r="L109" s="76"/>
    </row>
    <row r="110" spans="2:15" ht="16.2" thickBot="1" x14ac:dyDescent="0.35">
      <c r="C110" s="101">
        <f>F97</f>
        <v>2013265.9199999999</v>
      </c>
      <c r="D110" s="101"/>
      <c r="E110" s="103"/>
      <c r="F110" s="103">
        <v>4</v>
      </c>
      <c r="G110" s="528">
        <v>8</v>
      </c>
      <c r="H110" s="103">
        <v>26</v>
      </c>
      <c r="I110" s="528">
        <v>20</v>
      </c>
      <c r="J110" s="103">
        <v>8</v>
      </c>
      <c r="K110" s="528">
        <v>8</v>
      </c>
      <c r="L110" s="76">
        <f>SUM(F110:K110)</f>
        <v>74</v>
      </c>
      <c r="M110" s="76" t="s">
        <v>291</v>
      </c>
    </row>
    <row r="111" spans="2:15" ht="16.2" thickBot="1" x14ac:dyDescent="0.35">
      <c r="B111" s="101" t="s">
        <v>845</v>
      </c>
      <c r="C111" s="539">
        <v>0.2</v>
      </c>
      <c r="D111" s="537">
        <f>D112-C111</f>
        <v>0.8</v>
      </c>
      <c r="F111" s="523">
        <v>0.1</v>
      </c>
      <c r="G111" s="529">
        <v>0.15</v>
      </c>
      <c r="H111" s="523">
        <v>0.32</v>
      </c>
      <c r="I111" s="529">
        <v>0.25</v>
      </c>
      <c r="J111" s="523">
        <v>0.09</v>
      </c>
      <c r="K111" s="529">
        <v>0.09</v>
      </c>
      <c r="L111" s="484">
        <f>SUM(F111:K111)</f>
        <v>1</v>
      </c>
      <c r="M111" s="32"/>
    </row>
    <row r="112" spans="2:15" ht="16.2" thickBot="1" x14ac:dyDescent="0.35">
      <c r="B112" s="103"/>
      <c r="C112" s="101">
        <f>C110*D111</f>
        <v>1610612.736</v>
      </c>
      <c r="D112" s="538">
        <v>1</v>
      </c>
      <c r="F112" s="524">
        <f>C112*F111</f>
        <v>161061.27360000001</v>
      </c>
      <c r="G112" s="530">
        <f>C112*G111</f>
        <v>241591.91039999999</v>
      </c>
      <c r="H112" s="524">
        <f>C112*H111</f>
        <v>515396.07552000001</v>
      </c>
      <c r="I112" s="530">
        <f>C112*I111</f>
        <v>402653.18400000001</v>
      </c>
      <c r="J112" s="524">
        <f>C112*J111</f>
        <v>144955.14624</v>
      </c>
      <c r="K112" s="530">
        <f>C112*K111</f>
        <v>144955.14624</v>
      </c>
      <c r="L112" s="527">
        <f>SUM(F112:K112)</f>
        <v>1610612.736</v>
      </c>
      <c r="M112" s="76" t="s">
        <v>244</v>
      </c>
      <c r="N112" s="76"/>
      <c r="O112" s="76"/>
    </row>
    <row r="113" spans="2:29" ht="16.2" thickTop="1" x14ac:dyDescent="0.3">
      <c r="C113" s="101"/>
      <c r="D113" s="345"/>
      <c r="F113" s="525">
        <f t="shared" ref="F113:K113" si="6">F110</f>
        <v>4</v>
      </c>
      <c r="G113" s="531">
        <f t="shared" si="6"/>
        <v>8</v>
      </c>
      <c r="H113" s="525">
        <f t="shared" si="6"/>
        <v>26</v>
      </c>
      <c r="I113" s="531">
        <f t="shared" si="6"/>
        <v>20</v>
      </c>
      <c r="J113" s="525">
        <f t="shared" si="6"/>
        <v>8</v>
      </c>
      <c r="K113" s="531">
        <f t="shared" si="6"/>
        <v>8</v>
      </c>
      <c r="L113" s="103"/>
      <c r="M113" s="1">
        <f>SUM(F113:L113)</f>
        <v>74</v>
      </c>
      <c r="Q113" s="236"/>
      <c r="R113" s="236"/>
      <c r="S113" s="236"/>
      <c r="T113" s="236"/>
      <c r="U113" s="236"/>
      <c r="V113" s="512"/>
      <c r="W113" s="513"/>
      <c r="X113" s="513"/>
      <c r="Y113" s="513"/>
      <c r="Z113" s="513"/>
      <c r="AA113" s="513"/>
      <c r="AB113" s="513"/>
      <c r="AC113" s="514"/>
    </row>
    <row r="114" spans="2:29" x14ac:dyDescent="0.3">
      <c r="C114" s="383" t="s">
        <v>842</v>
      </c>
      <c r="D114" s="384"/>
      <c r="E114" s="385" t="s">
        <v>716</v>
      </c>
      <c r="F114" s="386">
        <f>F112/F113</f>
        <v>40265.318400000004</v>
      </c>
      <c r="G114" s="532">
        <f t="shared" ref="G114:K114" si="7">G112/G113</f>
        <v>30198.988799999999</v>
      </c>
      <c r="H114" s="386">
        <f t="shared" si="7"/>
        <v>19822.925981538461</v>
      </c>
      <c r="I114" s="532">
        <f t="shared" si="7"/>
        <v>20132.659200000002</v>
      </c>
      <c r="J114" s="386">
        <f t="shared" si="7"/>
        <v>18119.39328</v>
      </c>
      <c r="K114" s="532">
        <f t="shared" si="7"/>
        <v>18119.39328</v>
      </c>
      <c r="L114" s="256"/>
      <c r="Q114" s="236"/>
      <c r="V114" s="122"/>
      <c r="W114" s="7"/>
      <c r="X114" s="7" t="s">
        <v>721</v>
      </c>
      <c r="Y114" s="7"/>
      <c r="Z114" s="7"/>
      <c r="AA114" s="7"/>
      <c r="AB114" s="515"/>
      <c r="AC114" s="8"/>
    </row>
    <row r="115" spans="2:29" x14ac:dyDescent="0.3">
      <c r="C115" s="236"/>
      <c r="F115" s="18">
        <v>0.5</v>
      </c>
      <c r="G115" s="18">
        <v>0.5</v>
      </c>
      <c r="H115" s="18">
        <v>0.5</v>
      </c>
      <c r="I115" s="18">
        <v>0.5</v>
      </c>
      <c r="J115" s="18">
        <v>0.5</v>
      </c>
      <c r="K115" s="18">
        <v>0.5</v>
      </c>
      <c r="N115" s="236" t="s">
        <v>238</v>
      </c>
      <c r="O115" s="236"/>
      <c r="Q115" s="236"/>
      <c r="V115" s="122"/>
      <c r="W115" s="7"/>
      <c r="X115" s="7"/>
      <c r="Y115" s="7"/>
      <c r="Z115" s="7"/>
      <c r="AA115" s="7"/>
      <c r="AB115" s="515"/>
      <c r="AC115" s="8"/>
    </row>
    <row r="116" spans="2:29" ht="16.2" thickBot="1" x14ac:dyDescent="0.35">
      <c r="B116" s="1" t="s">
        <v>874</v>
      </c>
      <c r="C116" s="236" t="s">
        <v>709</v>
      </c>
      <c r="D116" s="344"/>
      <c r="E116" s="236"/>
      <c r="F116" s="344">
        <f>F114*F115</f>
        <v>20132.659200000002</v>
      </c>
      <c r="G116" s="533">
        <f t="shared" ref="G116:K116" si="8">G114*G115</f>
        <v>15099.4944</v>
      </c>
      <c r="H116" s="534">
        <f t="shared" si="8"/>
        <v>9911.4629907692306</v>
      </c>
      <c r="I116" s="533">
        <f t="shared" si="8"/>
        <v>10066.329600000001</v>
      </c>
      <c r="J116" s="533">
        <f t="shared" si="8"/>
        <v>9059.6966400000001</v>
      </c>
      <c r="K116" s="533">
        <f t="shared" si="8"/>
        <v>9059.6966400000001</v>
      </c>
      <c r="L116" s="174" t="s">
        <v>709</v>
      </c>
      <c r="N116" s="526">
        <v>1.33</v>
      </c>
      <c r="O116" s="236"/>
      <c r="P116" s="236"/>
      <c r="Q116" s="236"/>
      <c r="V116" s="122"/>
      <c r="W116" s="7">
        <v>1</v>
      </c>
      <c r="X116" s="87">
        <f>H116</f>
        <v>9911.4629907692306</v>
      </c>
      <c r="Y116" s="215">
        <v>0.03</v>
      </c>
      <c r="Z116" s="87">
        <f>X116*Y116</f>
        <v>297.34388972307693</v>
      </c>
      <c r="AA116" s="7"/>
      <c r="AB116" s="516">
        <f>X116</f>
        <v>9911.4629907692306</v>
      </c>
      <c r="AC116" s="8"/>
    </row>
    <row r="117" spans="2:29" s="88" customFormat="1" x14ac:dyDescent="0.3">
      <c r="C117" s="236"/>
      <c r="D117" s="345"/>
      <c r="F117" s="18">
        <v>0.25</v>
      </c>
      <c r="G117" s="18">
        <v>0.25</v>
      </c>
      <c r="H117" s="18">
        <v>0.25</v>
      </c>
      <c r="I117" s="18">
        <v>0.25</v>
      </c>
      <c r="J117" s="18">
        <v>0.25</v>
      </c>
      <c r="K117" s="18">
        <v>0.25</v>
      </c>
      <c r="L117" s="76"/>
      <c r="M117" s="88">
        <v>8</v>
      </c>
      <c r="N117" s="517">
        <f>N116*M117</f>
        <v>10.64</v>
      </c>
      <c r="O117" s="236" t="s">
        <v>239</v>
      </c>
      <c r="V117" s="141"/>
      <c r="W117" s="106"/>
      <c r="X117" s="91"/>
      <c r="Y117" s="142"/>
      <c r="Z117" s="91"/>
      <c r="AA117" s="106"/>
      <c r="AB117" s="516"/>
      <c r="AC117" s="164"/>
    </row>
    <row r="118" spans="2:29" x14ac:dyDescent="0.3">
      <c r="C118" s="236" t="s">
        <v>816</v>
      </c>
      <c r="D118" s="344"/>
      <c r="E118" s="236"/>
      <c r="F118" s="344">
        <f>F114*F117</f>
        <v>10066.329600000001</v>
      </c>
      <c r="G118" s="533">
        <f>G114*G117</f>
        <v>7549.7471999999998</v>
      </c>
      <c r="H118" s="533">
        <f t="shared" ref="H118:K118" si="9">H114*H117</f>
        <v>4955.7314953846153</v>
      </c>
      <c r="I118" s="533">
        <f t="shared" si="9"/>
        <v>5033.1648000000005</v>
      </c>
      <c r="J118" s="533">
        <f t="shared" si="9"/>
        <v>4529.8483200000001</v>
      </c>
      <c r="K118" s="533">
        <f t="shared" si="9"/>
        <v>4529.8483200000001</v>
      </c>
      <c r="L118" s="76" t="s">
        <v>844</v>
      </c>
      <c r="M118" s="88">
        <v>5</v>
      </c>
      <c r="N118" s="517">
        <f>N117*M118</f>
        <v>53.2</v>
      </c>
      <c r="O118" s="236" t="s">
        <v>240</v>
      </c>
      <c r="V118" s="122"/>
      <c r="W118" s="7"/>
      <c r="X118" s="87"/>
      <c r="Y118" s="215"/>
      <c r="Z118" s="87"/>
      <c r="AA118" s="7"/>
      <c r="AB118" s="516"/>
      <c r="AC118" s="8"/>
    </row>
    <row r="119" spans="2:29" s="88" customFormat="1" ht="16.2" thickBot="1" x14ac:dyDescent="0.35">
      <c r="C119" s="236"/>
      <c r="D119" s="345"/>
      <c r="F119" s="345"/>
      <c r="G119" s="345"/>
      <c r="H119" s="511"/>
      <c r="I119" s="345"/>
      <c r="J119" s="345"/>
      <c r="K119" s="345"/>
      <c r="L119" s="76"/>
      <c r="M119" s="88">
        <v>4</v>
      </c>
      <c r="N119" s="517">
        <f>N118*M119</f>
        <v>212.8</v>
      </c>
      <c r="O119" s="236" t="s">
        <v>32</v>
      </c>
      <c r="V119" s="141"/>
      <c r="W119" s="106"/>
      <c r="X119" s="91"/>
      <c r="Y119" s="142"/>
      <c r="Z119" s="91"/>
      <c r="AA119" s="106"/>
      <c r="AB119" s="516"/>
      <c r="AC119" s="164"/>
    </row>
    <row r="120" spans="2:29" ht="16.2" thickBot="1" x14ac:dyDescent="0.35">
      <c r="C120" s="236" t="s">
        <v>817</v>
      </c>
      <c r="D120" s="344"/>
      <c r="E120" s="236"/>
      <c r="F120" s="344">
        <f>F118</f>
        <v>10066.329600000001</v>
      </c>
      <c r="G120" s="535">
        <f t="shared" ref="G120:K120" si="10">G118</f>
        <v>7549.7471999999998</v>
      </c>
      <c r="H120" s="535">
        <f t="shared" si="10"/>
        <v>4955.7314953846153</v>
      </c>
      <c r="I120" s="533">
        <f t="shared" si="10"/>
        <v>5033.1648000000005</v>
      </c>
      <c r="J120" s="344">
        <f t="shared" si="10"/>
        <v>4529.8483200000001</v>
      </c>
      <c r="K120" s="519">
        <f t="shared" si="10"/>
        <v>4529.8483200000001</v>
      </c>
      <c r="L120" s="76" t="s">
        <v>880</v>
      </c>
      <c r="M120" s="88">
        <v>12</v>
      </c>
      <c r="N120" s="517">
        <f>N119*M120</f>
        <v>2553.6000000000004</v>
      </c>
      <c r="O120" s="236" t="s">
        <v>33</v>
      </c>
      <c r="V120" s="122"/>
      <c r="W120" s="7"/>
      <c r="X120" s="87"/>
      <c r="Y120" s="215"/>
      <c r="Z120" s="87"/>
      <c r="AA120" s="7"/>
      <c r="AB120" s="516"/>
      <c r="AC120" s="8"/>
    </row>
    <row r="121" spans="2:29" x14ac:dyDescent="0.3">
      <c r="C121" s="39" t="s">
        <v>206</v>
      </c>
      <c r="F121" s="1">
        <v>16</v>
      </c>
      <c r="G121" s="1">
        <v>16</v>
      </c>
      <c r="H121" s="1">
        <v>16</v>
      </c>
      <c r="I121" s="1">
        <v>16</v>
      </c>
      <c r="J121" s="1">
        <v>16</v>
      </c>
      <c r="K121" s="1">
        <v>16</v>
      </c>
      <c r="L121" s="515"/>
      <c r="V121" s="122"/>
      <c r="W121" s="7">
        <f>W116+1</f>
        <v>2</v>
      </c>
      <c r="X121" s="87">
        <f>X116+Z116</f>
        <v>10208.806880492308</v>
      </c>
      <c r="Y121" s="215">
        <f>Y116</f>
        <v>0.03</v>
      </c>
      <c r="Z121" s="87">
        <f>X121*Y121</f>
        <v>306.26420641476921</v>
      </c>
      <c r="AA121" s="7"/>
      <c r="AB121" s="516">
        <f>AB116</f>
        <v>9911.4629907692306</v>
      </c>
      <c r="AC121" s="8"/>
    </row>
    <row r="122" spans="2:29" x14ac:dyDescent="0.3">
      <c r="B122" s="1" t="s">
        <v>874</v>
      </c>
      <c r="C122" s="39" t="s">
        <v>937</v>
      </c>
      <c r="D122" s="389"/>
      <c r="E122" s="388"/>
      <c r="F122" s="536">
        <f>F116*F121</f>
        <v>322122.54720000003</v>
      </c>
      <c r="G122" s="536">
        <f t="shared" ref="G122:K122" si="11">G116*G121</f>
        <v>241591.91039999999</v>
      </c>
      <c r="H122" s="536">
        <f t="shared" si="11"/>
        <v>158583.40785230769</v>
      </c>
      <c r="I122" s="536">
        <f t="shared" si="11"/>
        <v>161061.27360000001</v>
      </c>
      <c r="J122" s="536">
        <f t="shared" si="11"/>
        <v>144955.14624</v>
      </c>
      <c r="K122" s="536">
        <f t="shared" si="11"/>
        <v>144955.14624</v>
      </c>
      <c r="L122" s="516"/>
      <c r="M122" s="1" t="s">
        <v>833</v>
      </c>
      <c r="V122" s="122"/>
      <c r="W122" s="7">
        <f t="shared" ref="W122:W135" si="12">W121+1</f>
        <v>3</v>
      </c>
      <c r="X122" s="87">
        <f t="shared" ref="X122:X135" si="13">X121+Z121</f>
        <v>10515.071086907077</v>
      </c>
      <c r="Y122" s="215">
        <f t="shared" ref="Y122:Y135" si="14">Y121</f>
        <v>0.03</v>
      </c>
      <c r="Z122" s="87">
        <f t="shared" ref="Z122:Z135" si="15">X122*Y122</f>
        <v>315.45213260721232</v>
      </c>
      <c r="AA122" s="7"/>
      <c r="AB122" s="516">
        <f t="shared" ref="AB122:AB135" si="16">AB121</f>
        <v>9911.4629907692306</v>
      </c>
      <c r="AC122" s="8"/>
    </row>
    <row r="123" spans="2:29" x14ac:dyDescent="0.3">
      <c r="F123" s="2"/>
      <c r="G123" s="2"/>
      <c r="H123" s="2"/>
      <c r="I123" s="2"/>
      <c r="J123" s="2"/>
      <c r="K123" s="2"/>
      <c r="L123" s="516"/>
      <c r="V123" s="122"/>
      <c r="W123" s="7">
        <f t="shared" si="12"/>
        <v>4</v>
      </c>
      <c r="X123" s="87">
        <f t="shared" si="13"/>
        <v>10830.523219514289</v>
      </c>
      <c r="Y123" s="215">
        <f t="shared" si="14"/>
        <v>0.03</v>
      </c>
      <c r="Z123" s="87">
        <f t="shared" si="15"/>
        <v>324.91569658542863</v>
      </c>
      <c r="AA123" s="7"/>
      <c r="AB123" s="516">
        <f t="shared" si="16"/>
        <v>9911.4629907692306</v>
      </c>
      <c r="AC123" s="8"/>
    </row>
    <row r="124" spans="2:29" x14ac:dyDescent="0.3">
      <c r="L124" s="515"/>
      <c r="M124" s="1" t="s">
        <v>818</v>
      </c>
      <c r="P124" s="72"/>
      <c r="V124" s="122"/>
      <c r="W124" s="7">
        <f t="shared" si="12"/>
        <v>5</v>
      </c>
      <c r="X124" s="87">
        <f t="shared" si="13"/>
        <v>11155.438916099718</v>
      </c>
      <c r="Y124" s="215">
        <f t="shared" si="14"/>
        <v>0.03</v>
      </c>
      <c r="Z124" s="87">
        <f t="shared" si="15"/>
        <v>334.66316748299153</v>
      </c>
      <c r="AA124" s="7"/>
      <c r="AB124" s="516">
        <f t="shared" si="16"/>
        <v>9911.4629907692306</v>
      </c>
      <c r="AC124" s="8"/>
    </row>
    <row r="125" spans="2:29" x14ac:dyDescent="0.3">
      <c r="L125" s="515"/>
      <c r="V125" s="122"/>
      <c r="W125" s="7">
        <f t="shared" si="12"/>
        <v>6</v>
      </c>
      <c r="X125" s="87">
        <f t="shared" si="13"/>
        <v>11490.102083582709</v>
      </c>
      <c r="Y125" s="215">
        <f t="shared" si="14"/>
        <v>0.03</v>
      </c>
      <c r="Z125" s="87">
        <f t="shared" si="15"/>
        <v>344.70306250748126</v>
      </c>
      <c r="AA125" s="7"/>
      <c r="AB125" s="516">
        <f t="shared" si="16"/>
        <v>9911.4629907692306</v>
      </c>
      <c r="AC125" s="8"/>
    </row>
    <row r="126" spans="2:29" x14ac:dyDescent="0.3">
      <c r="C126" s="96" t="s">
        <v>808</v>
      </c>
      <c r="D126" s="97">
        <f>D7</f>
        <v>10737418.24</v>
      </c>
      <c r="H126" s="2"/>
      <c r="J126" s="38" t="s">
        <v>825</v>
      </c>
      <c r="K126" s="38" t="s">
        <v>824</v>
      </c>
      <c r="L126" s="517">
        <v>1084</v>
      </c>
      <c r="M126" s="1" t="s">
        <v>936</v>
      </c>
      <c r="P126" s="1" t="s">
        <v>820</v>
      </c>
      <c r="V126" s="122"/>
      <c r="W126" s="7">
        <f t="shared" si="12"/>
        <v>7</v>
      </c>
      <c r="X126" s="87">
        <f t="shared" si="13"/>
        <v>11834.805146090192</v>
      </c>
      <c r="Y126" s="215">
        <f t="shared" si="14"/>
        <v>0.03</v>
      </c>
      <c r="Z126" s="87">
        <f t="shared" si="15"/>
        <v>355.04415438270576</v>
      </c>
      <c r="AA126" s="7"/>
      <c r="AB126" s="516">
        <f t="shared" si="16"/>
        <v>9911.4629907692306</v>
      </c>
      <c r="AC126" s="8"/>
    </row>
    <row r="127" spans="2:29" x14ac:dyDescent="0.3">
      <c r="B127" s="1" t="s">
        <v>917</v>
      </c>
      <c r="C127" s="96" t="s">
        <v>717</v>
      </c>
      <c r="L127" s="236"/>
      <c r="P127" s="1" t="s">
        <v>819</v>
      </c>
      <c r="V127" s="122"/>
      <c r="W127" s="7">
        <f t="shared" si="12"/>
        <v>8</v>
      </c>
      <c r="X127" s="87">
        <f t="shared" si="13"/>
        <v>12189.849300472897</v>
      </c>
      <c r="Y127" s="215">
        <f t="shared" si="14"/>
        <v>0.03</v>
      </c>
      <c r="Z127" s="87">
        <f t="shared" si="15"/>
        <v>365.6954790141869</v>
      </c>
      <c r="AA127" s="7"/>
      <c r="AB127" s="516">
        <f t="shared" si="16"/>
        <v>9911.4629907692306</v>
      </c>
      <c r="AC127" s="8"/>
    </row>
    <row r="128" spans="2:29" x14ac:dyDescent="0.3">
      <c r="C128" s="96"/>
      <c r="H128" s="2"/>
      <c r="K128" s="38" t="s">
        <v>841</v>
      </c>
      <c r="L128" s="517">
        <v>481</v>
      </c>
      <c r="M128" s="1" t="s">
        <v>834</v>
      </c>
      <c r="P128" s="1" t="s">
        <v>821</v>
      </c>
      <c r="V128" s="122"/>
      <c r="W128" s="7">
        <f t="shared" si="12"/>
        <v>9</v>
      </c>
      <c r="X128" s="87">
        <f t="shared" si="13"/>
        <v>12555.544779487083</v>
      </c>
      <c r="Y128" s="215">
        <f t="shared" si="14"/>
        <v>0.03</v>
      </c>
      <c r="Z128" s="87">
        <f t="shared" si="15"/>
        <v>376.6663433846125</v>
      </c>
      <c r="AA128" s="7"/>
      <c r="AB128" s="516">
        <f t="shared" si="16"/>
        <v>9911.4629907692306</v>
      </c>
      <c r="AC128" s="8"/>
    </row>
    <row r="129" spans="3:29" x14ac:dyDescent="0.3">
      <c r="C129" s="96" t="s">
        <v>233</v>
      </c>
      <c r="D129" s="97">
        <f>I102</f>
        <v>2013265.9199999999</v>
      </c>
      <c r="E129" s="1" t="s">
        <v>921</v>
      </c>
      <c r="K129" s="38" t="s">
        <v>841</v>
      </c>
      <c r="L129" s="517">
        <v>378.5</v>
      </c>
      <c r="M129" s="1" t="s">
        <v>823</v>
      </c>
      <c r="P129" s="1" t="s">
        <v>822</v>
      </c>
      <c r="V129" s="122"/>
      <c r="W129" s="7">
        <f t="shared" si="12"/>
        <v>10</v>
      </c>
      <c r="X129" s="87">
        <f t="shared" si="13"/>
        <v>12932.211122871697</v>
      </c>
      <c r="Y129" s="215">
        <f t="shared" si="14"/>
        <v>0.03</v>
      </c>
      <c r="Z129" s="87">
        <f t="shared" si="15"/>
        <v>387.9663336861509</v>
      </c>
      <c r="AA129" s="7"/>
      <c r="AB129" s="516">
        <f t="shared" si="16"/>
        <v>9911.4629907692306</v>
      </c>
      <c r="AC129" s="8"/>
    </row>
    <row r="130" spans="3:29" x14ac:dyDescent="0.3">
      <c r="C130" s="96" t="s">
        <v>234</v>
      </c>
      <c r="D130" s="108">
        <f>I104</f>
        <v>3897686.91</v>
      </c>
      <c r="L130" s="236"/>
      <c r="M130" s="1" t="s">
        <v>941</v>
      </c>
      <c r="P130" s="1" t="s">
        <v>826</v>
      </c>
      <c r="V130" s="122"/>
      <c r="W130" s="7">
        <f t="shared" si="12"/>
        <v>11</v>
      </c>
      <c r="X130" s="87">
        <f t="shared" si="13"/>
        <v>13320.177456557847</v>
      </c>
      <c r="Y130" s="215">
        <f t="shared" si="14"/>
        <v>0.03</v>
      </c>
      <c r="Z130" s="87">
        <f t="shared" si="15"/>
        <v>399.60532369673541</v>
      </c>
      <c r="AA130" s="7"/>
      <c r="AB130" s="516">
        <f t="shared" si="16"/>
        <v>9911.4629907692306</v>
      </c>
      <c r="AC130" s="8"/>
    </row>
    <row r="131" spans="3:29" x14ac:dyDescent="0.3">
      <c r="C131" s="392" t="s">
        <v>810</v>
      </c>
      <c r="D131" s="428">
        <f>D129+D130</f>
        <v>5910952.8300000001</v>
      </c>
      <c r="E131" s="557" t="s">
        <v>939</v>
      </c>
      <c r="F131" s="557"/>
      <c r="G131" s="557"/>
      <c r="K131" s="38" t="s">
        <v>841</v>
      </c>
      <c r="L131" s="517">
        <v>326</v>
      </c>
      <c r="M131" s="1" t="s">
        <v>828</v>
      </c>
      <c r="P131" s="1" t="s">
        <v>827</v>
      </c>
      <c r="V131" s="122"/>
      <c r="W131" s="7">
        <f t="shared" si="12"/>
        <v>12</v>
      </c>
      <c r="X131" s="87">
        <f t="shared" si="13"/>
        <v>13719.782780254582</v>
      </c>
      <c r="Y131" s="215">
        <f t="shared" si="14"/>
        <v>0.03</v>
      </c>
      <c r="Z131" s="87">
        <f t="shared" si="15"/>
        <v>411.59348340763745</v>
      </c>
      <c r="AA131" s="7"/>
      <c r="AB131" s="516">
        <f t="shared" si="16"/>
        <v>9911.4629907692306</v>
      </c>
      <c r="AC131" s="8"/>
    </row>
    <row r="132" spans="3:29" x14ac:dyDescent="0.3">
      <c r="C132" s="96" t="s">
        <v>718</v>
      </c>
      <c r="D132" s="41">
        <v>2.5</v>
      </c>
      <c r="E132" s="1" t="s">
        <v>231</v>
      </c>
      <c r="F132" s="1" t="s">
        <v>846</v>
      </c>
      <c r="K132" s="38" t="s">
        <v>841</v>
      </c>
      <c r="L132" s="517">
        <v>301</v>
      </c>
      <c r="M132" s="1" t="s">
        <v>829</v>
      </c>
      <c r="P132" s="1" t="s">
        <v>827</v>
      </c>
      <c r="V132" s="122"/>
      <c r="W132" s="7">
        <f t="shared" si="12"/>
        <v>13</v>
      </c>
      <c r="X132" s="87">
        <f t="shared" si="13"/>
        <v>14131.37626366222</v>
      </c>
      <c r="Y132" s="215">
        <f t="shared" si="14"/>
        <v>0.03</v>
      </c>
      <c r="Z132" s="87">
        <f t="shared" si="15"/>
        <v>423.94128790986656</v>
      </c>
      <c r="AA132" s="7"/>
      <c r="AB132" s="516">
        <f t="shared" si="16"/>
        <v>9911.4629907692306</v>
      </c>
      <c r="AC132" s="8"/>
    </row>
    <row r="133" spans="3:29" x14ac:dyDescent="0.3">
      <c r="C133" s="393" t="s">
        <v>241</v>
      </c>
      <c r="D133" s="2">
        <f>D131*D132</f>
        <v>14777382.074999999</v>
      </c>
      <c r="K133" s="38" t="s">
        <v>841</v>
      </c>
      <c r="L133" s="517">
        <v>294</v>
      </c>
      <c r="M133" s="1" t="s">
        <v>830</v>
      </c>
      <c r="P133" s="1" t="s">
        <v>827</v>
      </c>
      <c r="V133" s="122"/>
      <c r="W133" s="7">
        <f t="shared" si="12"/>
        <v>14</v>
      </c>
      <c r="X133" s="87">
        <f t="shared" si="13"/>
        <v>14555.317551572087</v>
      </c>
      <c r="Y133" s="215">
        <f t="shared" si="14"/>
        <v>0.03</v>
      </c>
      <c r="Z133" s="87">
        <f t="shared" si="15"/>
        <v>436.65952654716261</v>
      </c>
      <c r="AA133" s="7"/>
      <c r="AB133" s="516">
        <f t="shared" si="16"/>
        <v>9911.4629907692306</v>
      </c>
      <c r="AC133" s="8"/>
    </row>
    <row r="134" spans="3:29" x14ac:dyDescent="0.3">
      <c r="C134" s="96" t="s">
        <v>232</v>
      </c>
      <c r="D134" s="90">
        <f>N16</f>
        <v>3019898.8799999999</v>
      </c>
      <c r="K134" s="38" t="s">
        <v>831</v>
      </c>
      <c r="L134" s="344">
        <f>SUM(L128:L133)</f>
        <v>1780.5</v>
      </c>
      <c r="V134" s="122"/>
      <c r="W134" s="7">
        <f t="shared" si="12"/>
        <v>15</v>
      </c>
      <c r="X134" s="87">
        <f t="shared" si="13"/>
        <v>14991.977078119249</v>
      </c>
      <c r="Y134" s="215">
        <f t="shared" si="14"/>
        <v>0.03</v>
      </c>
      <c r="Z134" s="87">
        <f t="shared" si="15"/>
        <v>449.75931234357745</v>
      </c>
      <c r="AA134" s="7"/>
      <c r="AB134" s="516">
        <f t="shared" si="16"/>
        <v>9911.4629907692306</v>
      </c>
      <c r="AC134" s="8"/>
    </row>
    <row r="135" spans="3:29" x14ac:dyDescent="0.3">
      <c r="C135" s="96"/>
      <c r="L135" s="236">
        <v>5</v>
      </c>
      <c r="V135" s="122"/>
      <c r="W135" s="7">
        <f t="shared" si="12"/>
        <v>16</v>
      </c>
      <c r="X135" s="87">
        <f t="shared" si="13"/>
        <v>15441.736390462827</v>
      </c>
      <c r="Y135" s="215">
        <f t="shared" si="14"/>
        <v>0.03</v>
      </c>
      <c r="Z135" s="87">
        <f t="shared" si="15"/>
        <v>463.25209171388479</v>
      </c>
      <c r="AA135" s="7"/>
      <c r="AB135" s="516">
        <f t="shared" si="16"/>
        <v>9911.4629907692306</v>
      </c>
      <c r="AC135" s="8"/>
    </row>
    <row r="136" spans="3:29" ht="16.2" thickBot="1" x14ac:dyDescent="0.35">
      <c r="C136" s="394" t="s">
        <v>236</v>
      </c>
      <c r="D136" s="57">
        <f>D133+D134</f>
        <v>17797280.954999998</v>
      </c>
      <c r="K136" s="38" t="s">
        <v>835</v>
      </c>
      <c r="L136" s="518">
        <f>L134/L135</f>
        <v>356.1</v>
      </c>
      <c r="V136" s="122"/>
      <c r="W136" s="7"/>
      <c r="X136" s="7"/>
      <c r="Y136" s="7"/>
      <c r="Z136" s="7"/>
      <c r="AA136" s="7"/>
      <c r="AB136" s="515"/>
      <c r="AC136" s="8"/>
    </row>
    <row r="137" spans="3:29" ht="16.2" thickBot="1" x14ac:dyDescent="0.35">
      <c r="C137" s="96" t="s">
        <v>923</v>
      </c>
      <c r="D137" s="2">
        <f>D136</f>
        <v>17797280.954999998</v>
      </c>
      <c r="L137" s="236"/>
      <c r="V137" s="122"/>
      <c r="W137" s="7"/>
      <c r="X137" s="87">
        <f>SUM(X116:X136)</f>
        <v>199784.183046916</v>
      </c>
      <c r="Y137" s="7"/>
      <c r="Z137" s="7"/>
      <c r="AA137" s="7"/>
      <c r="AB137" s="516">
        <f>SUM(AB116:AB136)</f>
        <v>158583.40785230772</v>
      </c>
      <c r="AC137" s="8"/>
    </row>
    <row r="138" spans="3:29" ht="16.2" thickBot="1" x14ac:dyDescent="0.35">
      <c r="C138" s="395" t="s">
        <v>235</v>
      </c>
      <c r="D138" s="69">
        <f>D136+D137</f>
        <v>35594561.909999996</v>
      </c>
      <c r="K138" s="38" t="s">
        <v>832</v>
      </c>
      <c r="L138" s="519">
        <f>K118</f>
        <v>4529.8483200000001</v>
      </c>
      <c r="V138" s="122"/>
      <c r="W138" s="7"/>
      <c r="X138" s="7"/>
      <c r="Y138" s="7"/>
      <c r="Z138" s="7"/>
      <c r="AA138" s="7"/>
      <c r="AB138" s="7"/>
      <c r="AC138" s="8"/>
    </row>
    <row r="139" spans="3:29" ht="16.2" thickTop="1" x14ac:dyDescent="0.3">
      <c r="C139" s="96"/>
      <c r="L139" s="236"/>
      <c r="V139" s="122"/>
      <c r="W139" s="7" t="s">
        <v>710</v>
      </c>
      <c r="X139" s="87">
        <f>X137</f>
        <v>199784.183046916</v>
      </c>
      <c r="Y139" s="7"/>
      <c r="Z139" s="7"/>
      <c r="AA139" s="7"/>
      <c r="AB139" s="7"/>
      <c r="AC139" s="8"/>
    </row>
    <row r="140" spans="3:29" ht="16.2" thickBot="1" x14ac:dyDescent="0.35">
      <c r="C140" s="395" t="s">
        <v>938</v>
      </c>
      <c r="D140" s="69">
        <f>D138</f>
        <v>35594561.909999996</v>
      </c>
      <c r="E140" s="1" t="s">
        <v>809</v>
      </c>
      <c r="K140" s="38" t="s">
        <v>838</v>
      </c>
      <c r="L140" s="483">
        <f>L136/L138</f>
        <v>7.8611903720431864E-2</v>
      </c>
      <c r="V140" s="122"/>
      <c r="W140" s="7" t="s">
        <v>711</v>
      </c>
      <c r="X140" s="87">
        <f>AB137</f>
        <v>158583.40785230772</v>
      </c>
      <c r="Y140" s="7"/>
      <c r="Z140" s="7"/>
      <c r="AA140" s="7"/>
      <c r="AB140" s="7"/>
      <c r="AC140" s="8"/>
    </row>
    <row r="141" spans="3:29" ht="16.2" thickTop="1" x14ac:dyDescent="0.3">
      <c r="K141" s="38" t="s">
        <v>837</v>
      </c>
      <c r="L141" s="521">
        <v>15.9</v>
      </c>
      <c r="M141" s="1">
        <f>L140*L141</f>
        <v>1.2499292691548667</v>
      </c>
      <c r="V141" s="122"/>
      <c r="W141" s="7" t="s">
        <v>712</v>
      </c>
      <c r="X141" s="95">
        <f>X140:X140/X139</f>
        <v>0.79377358824780953</v>
      </c>
      <c r="Y141" s="7"/>
      <c r="Z141" s="7"/>
      <c r="AA141" s="7"/>
      <c r="AB141" s="7"/>
      <c r="AC141" s="8"/>
    </row>
    <row r="142" spans="3:29" x14ac:dyDescent="0.3">
      <c r="C142" s="92" t="s">
        <v>924</v>
      </c>
      <c r="D142" s="387"/>
      <c r="L142" s="522" t="s">
        <v>836</v>
      </c>
      <c r="V142" s="122"/>
      <c r="W142" s="7" t="s">
        <v>713</v>
      </c>
      <c r="X142" s="382">
        <f>100%-X141</f>
        <v>0.20622641175219047</v>
      </c>
      <c r="Y142" s="7" t="s">
        <v>714</v>
      </c>
      <c r="Z142" s="7"/>
      <c r="AA142" s="7"/>
      <c r="AB142" s="7"/>
      <c r="AC142" s="8"/>
    </row>
    <row r="143" spans="3:29" x14ac:dyDescent="0.3">
      <c r="C143" s="92" t="s">
        <v>925</v>
      </c>
      <c r="D143" s="387"/>
      <c r="K143" s="520" t="s">
        <v>839</v>
      </c>
      <c r="L143" s="236">
        <v>8</v>
      </c>
      <c r="V143" s="122"/>
      <c r="W143" s="7" t="s">
        <v>715</v>
      </c>
      <c r="X143" s="7"/>
      <c r="Y143" s="7"/>
      <c r="Z143" s="7"/>
      <c r="AA143" s="7"/>
      <c r="AB143" s="7"/>
      <c r="AC143" s="8"/>
    </row>
    <row r="144" spans="3:29" ht="16.2" thickBot="1" x14ac:dyDescent="0.35">
      <c r="C144" s="92" t="s">
        <v>940</v>
      </c>
      <c r="D144" s="387"/>
      <c r="K144" s="1" t="s">
        <v>840</v>
      </c>
      <c r="L144" s="518">
        <f>L138/L143</f>
        <v>566.23104000000001</v>
      </c>
      <c r="V144" s="158"/>
      <c r="W144" s="10"/>
      <c r="X144" s="10"/>
      <c r="Y144" s="10"/>
      <c r="Z144" s="10"/>
      <c r="AA144" s="10"/>
      <c r="AB144" s="10"/>
      <c r="AC144" s="11"/>
    </row>
    <row r="145" spans="11:11" ht="16.2" thickTop="1" x14ac:dyDescent="0.3">
      <c r="K145" s="1" t="s">
        <v>942</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Tab 2024 - ŔÉŚ 1.02 É95 Tax NC </vt:lpstr>
      <vt:lpstr>The Sienna Equilibrium 2.01</vt:lpstr>
      <vt:lpstr>Tab 2024 - ŔÉŚ 1</vt:lpstr>
      <vt:lpstr>Tab 2 - 2039 - ŔÉŚ 16 </vt:lpstr>
      <vt:lpstr>The Sienna Equilibrium 1.06</vt:lpstr>
      <vt:lpstr>The Sienna Equilibrium 1.07</vt:lpstr>
      <vt:lpstr>Solar in Malawi</vt:lpstr>
      <vt:lpstr>POP Dimensions</vt:lpstr>
      <vt:lpstr>UCS™ TWF Ťenders</vt:lpstr>
      <vt:lpstr>&lt;-- End of Summary --&gt;</vt:lpstr>
      <vt:lpstr>RES 2012</vt:lpstr>
      <vt:lpstr>Super Coupling 1.02</vt:lpstr>
      <vt:lpstr>2024 - ŔÉŚ 1 SPIN-8 Tax 95% </vt:lpstr>
      <vt:lpstr>2025 - ŔÉŚ 2 The GDP Game</vt:lpstr>
      <vt:lpstr>2026 - ŔÉŚ 3 S-World VS and VSN</vt:lpstr>
      <vt:lpstr>2027 - ŔÉŚ 4 Éfficiency to 92</vt:lpstr>
      <vt:lpstr>2028 - ŔÉŚ 5 Śpin 10</vt:lpstr>
      <vt:lpstr>2029 - ŔÉŚ 6. Malawi Income </vt:lpstr>
      <vt:lpstr>2030 - ŔÉŚ 7. É-94 Śpin-12</vt:lpstr>
      <vt:lpstr>2031 - ŔÉŚ 8. É95%</vt:lpstr>
      <vt:lpstr>2032 - ŔÉŚ 9. Ś-16</vt:lpstr>
      <vt:lpstr>2033 - ŔÉŚ 10. É97%</vt:lpstr>
      <vt:lpstr>2034 - ŔÉŚ 11. É98%</vt:lpstr>
      <vt:lpstr>2035 - ŔÉŚ 12. É99%</vt:lpstr>
      <vt:lpstr>2036 - ŔÉŚ 13. É100% </vt:lpstr>
      <vt:lpstr>2037 - ŔÉŚ 14. Śpin 24</vt:lpstr>
      <vt:lpstr>2038 - ŔÉŚ 15. Increase in Ŕ</vt:lpstr>
      <vt:lpstr>Sheet1</vt:lpstr>
      <vt:lpstr>2039 - ŔÉŚ 16. Increase Ŕ2</vt:lpstr>
      <vt:lpstr>Desalination Projects Funding</vt:lpstr>
      <vt:lpstr>Gigafactory Projects Funding</vt:lpstr>
      <vt:lpstr>Tesla M-Series Funding</vt:lpstr>
      <vt:lpstr>Network Cities</vt:lpstr>
      <vt:lpstr>TSE - Comparative Advantage</vt:lpstr>
      <vt:lpstr>How Many S-World Companies 2.0</vt:lpstr>
      <vt:lpstr>Audacious Project Revenue</vt:lpstr>
      <vt:lpstr> (R) Revenue Not from Bonds</vt:lpstr>
      <vt:lpstr>How Many S-World Companies</vt:lpstr>
      <vt:lpstr>US Audacious Projects Owners</vt:lpstr>
      <vt:lpstr>END OF  Presentation</vt:lpstr>
      <vt:lpstr>64 Grand Networks</vt:lpstr>
      <vt:lpstr>S-World UCS™ Software 1.01</vt:lpstr>
      <vt:lpstr>2018 to 2027</vt:lpstr>
      <vt:lpstr>368 tenders</vt:lpstr>
      <vt:lpstr>Bill Gates Time is Worth</vt:lpstr>
      <vt:lpstr>Old - Abject Safe Bonds (GDP)</vt:lpstr>
      <vt:lpstr>Car Factory</vt:lpstr>
      <vt:lpstr>Property Prices</vt:lpstr>
      <vt:lpstr>Old RES V1 (2024)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Ray Ball</dc:creator>
  <cp:lastModifiedBy>Nick</cp:lastModifiedBy>
  <dcterms:created xsi:type="dcterms:W3CDTF">2017-08-08T06:51:19Z</dcterms:created>
  <dcterms:modified xsi:type="dcterms:W3CDTF">2018-09-09T12:46:54Z</dcterms:modified>
</cp:coreProperties>
</file>